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480"/>
  </bookViews>
  <sheets>
    <sheet name="终 （分析)" sheetId="4" r:id="rId1"/>
  </sheets>
  <definedNames>
    <definedName name="_xlnm._FilterDatabase" localSheetId="0" hidden="1">'终 （分析)'!$A$2:$I$558</definedName>
    <definedName name="_xlnm.Print_Titles" localSheetId="0">'终 （分析)'!$2:$2</definedName>
  </definedNames>
  <calcPr calcId="125725"/>
</workbook>
</file>

<file path=xl/calcChain.xml><?xml version="1.0" encoding="utf-8"?>
<calcChain xmlns="http://schemas.openxmlformats.org/spreadsheetml/2006/main">
  <c r="B582" i="4"/>
  <c r="E577"/>
  <c r="E576"/>
  <c r="B575"/>
  <c r="B573"/>
  <c r="B571"/>
  <c r="B580" s="1"/>
  <c r="E570"/>
  <c r="E569"/>
  <c r="E571" s="1"/>
  <c r="E568"/>
  <c r="C566"/>
  <c r="F563"/>
  <c r="C561"/>
  <c r="E560"/>
  <c r="C557"/>
  <c r="C556"/>
  <c r="C555"/>
  <c r="D554" s="1"/>
  <c r="G554" s="1"/>
  <c r="C554"/>
  <c r="H553"/>
  <c r="H552"/>
  <c r="H551"/>
  <c r="F551"/>
  <c r="D551"/>
  <c r="G551" s="1"/>
  <c r="H550"/>
  <c r="H549"/>
  <c r="H548"/>
  <c r="H547"/>
  <c r="H546"/>
  <c r="F546"/>
  <c r="D546"/>
  <c r="G546" s="1"/>
  <c r="H545"/>
  <c r="H544"/>
  <c r="F544"/>
  <c r="D544"/>
  <c r="G544" s="1"/>
  <c r="H543"/>
  <c r="F543"/>
  <c r="D543"/>
  <c r="G543" s="1"/>
  <c r="H542"/>
  <c r="H541"/>
  <c r="H540"/>
  <c r="C539"/>
  <c r="D535" s="1"/>
  <c r="G535" s="1"/>
  <c r="H538"/>
  <c r="H537"/>
  <c r="H536"/>
  <c r="H535"/>
  <c r="F535"/>
  <c r="H534"/>
  <c r="H533"/>
  <c r="E532"/>
  <c r="C532"/>
  <c r="H532" s="1"/>
  <c r="H531"/>
  <c r="E530"/>
  <c r="C530"/>
  <c r="H530" s="1"/>
  <c r="H529"/>
  <c r="H528"/>
  <c r="F528"/>
  <c r="D528"/>
  <c r="H527"/>
  <c r="H526"/>
  <c r="C525"/>
  <c r="H525" s="1"/>
  <c r="H524"/>
  <c r="H523"/>
  <c r="C522"/>
  <c r="H522" s="1"/>
  <c r="H521"/>
  <c r="C521"/>
  <c r="H520"/>
  <c r="H519"/>
  <c r="H518"/>
  <c r="F518"/>
  <c r="H517"/>
  <c r="H516"/>
  <c r="H515"/>
  <c r="H514"/>
  <c r="F514"/>
  <c r="D514"/>
  <c r="G514" s="1"/>
  <c r="H513"/>
  <c r="H512"/>
  <c r="F512"/>
  <c r="D512"/>
  <c r="H511"/>
  <c r="F510"/>
  <c r="G510" s="1"/>
  <c r="D510"/>
  <c r="C510"/>
  <c r="H510" s="1"/>
  <c r="H509"/>
  <c r="H508"/>
  <c r="H507"/>
  <c r="F507"/>
  <c r="D507"/>
  <c r="H506"/>
  <c r="H505"/>
  <c r="F505"/>
  <c r="D505"/>
  <c r="G505" s="1"/>
  <c r="H504"/>
  <c r="H503"/>
  <c r="H502"/>
  <c r="F502"/>
  <c r="D502"/>
  <c r="H501"/>
  <c r="H500"/>
  <c r="H499"/>
  <c r="H498"/>
  <c r="H497"/>
  <c r="H496"/>
  <c r="H495"/>
  <c r="H494"/>
  <c r="H493"/>
  <c r="H492"/>
  <c r="H491"/>
  <c r="C491"/>
  <c r="H490"/>
  <c r="H489"/>
  <c r="H488"/>
  <c r="H487"/>
  <c r="H486"/>
  <c r="H485"/>
  <c r="H484"/>
  <c r="F484"/>
  <c r="D484"/>
  <c r="G484" s="1"/>
  <c r="H483"/>
  <c r="H482"/>
  <c r="H481"/>
  <c r="C480"/>
  <c r="H480" s="1"/>
  <c r="H479"/>
  <c r="E478"/>
  <c r="C478"/>
  <c r="H478" s="1"/>
  <c r="H477"/>
  <c r="F476"/>
  <c r="E476"/>
  <c r="H476" s="1"/>
  <c r="C475"/>
  <c r="H475" s="1"/>
  <c r="H474"/>
  <c r="H473"/>
  <c r="F473"/>
  <c r="D473"/>
  <c r="G473" s="1"/>
  <c r="H472"/>
  <c r="C472"/>
  <c r="H471"/>
  <c r="H470"/>
  <c r="H469"/>
  <c r="H468"/>
  <c r="H467"/>
  <c r="H466"/>
  <c r="H465"/>
  <c r="E465"/>
  <c r="H464"/>
  <c r="H463"/>
  <c r="F463"/>
  <c r="D463"/>
  <c r="H462"/>
  <c r="C461"/>
  <c r="H461" s="1"/>
  <c r="H460"/>
  <c r="H459"/>
  <c r="C458"/>
  <c r="D456" s="1"/>
  <c r="G456" s="1"/>
  <c r="H457"/>
  <c r="F456"/>
  <c r="E456"/>
  <c r="H456" s="1"/>
  <c r="H455"/>
  <c r="H454"/>
  <c r="H453"/>
  <c r="H451"/>
  <c r="H450"/>
  <c r="H449"/>
  <c r="H448"/>
  <c r="E448"/>
  <c r="H447"/>
  <c r="H446"/>
  <c r="H445"/>
  <c r="H444"/>
  <c r="H443"/>
  <c r="H442"/>
  <c r="H441"/>
  <c r="H440"/>
  <c r="H439"/>
  <c r="H438"/>
  <c r="H437"/>
  <c r="H436"/>
  <c r="C436"/>
  <c r="H435"/>
  <c r="H434"/>
  <c r="H433"/>
  <c r="C433"/>
  <c r="H432"/>
  <c r="H431"/>
  <c r="H430"/>
  <c r="H429"/>
  <c r="H428"/>
  <c r="F428"/>
  <c r="G428" s="1"/>
  <c r="D428"/>
  <c r="C428"/>
  <c r="H427"/>
  <c r="H426"/>
  <c r="H425"/>
  <c r="H424"/>
  <c r="H423"/>
  <c r="H422"/>
  <c r="E421"/>
  <c r="C421"/>
  <c r="D413" s="1"/>
  <c r="G413" s="1"/>
  <c r="H420"/>
  <c r="H419"/>
  <c r="C419"/>
  <c r="H418"/>
  <c r="H417"/>
  <c r="H416"/>
  <c r="H415"/>
  <c r="H414"/>
  <c r="H413"/>
  <c r="F413"/>
  <c r="H412"/>
  <c r="H411"/>
  <c r="H410"/>
  <c r="F410"/>
  <c r="D410"/>
  <c r="H409"/>
  <c r="H408"/>
  <c r="H407"/>
  <c r="H406"/>
  <c r="F406"/>
  <c r="D406"/>
  <c r="C406"/>
  <c r="H405"/>
  <c r="H404"/>
  <c r="H403"/>
  <c r="H402"/>
  <c r="C401"/>
  <c r="H401" s="1"/>
  <c r="H400"/>
  <c r="H399"/>
  <c r="H398"/>
  <c r="H397"/>
  <c r="H396"/>
  <c r="H395"/>
  <c r="C394"/>
  <c r="H394" s="1"/>
  <c r="H393"/>
  <c r="H392"/>
  <c r="H391"/>
  <c r="H390"/>
  <c r="H389"/>
  <c r="H388"/>
  <c r="C387"/>
  <c r="H387" s="1"/>
  <c r="H386"/>
  <c r="H385"/>
  <c r="C384"/>
  <c r="H384" s="1"/>
  <c r="H383"/>
  <c r="F382"/>
  <c r="D382"/>
  <c r="G382" s="1"/>
  <c r="C382"/>
  <c r="H382" s="1"/>
  <c r="H381"/>
  <c r="H380"/>
  <c r="H379"/>
  <c r="C379"/>
  <c r="H378"/>
  <c r="H377"/>
  <c r="H376"/>
  <c r="H375"/>
  <c r="F375"/>
  <c r="D375"/>
  <c r="G375" s="1"/>
  <c r="H374"/>
  <c r="H373"/>
  <c r="H372"/>
  <c r="H371"/>
  <c r="H370"/>
  <c r="H369"/>
  <c r="H368"/>
  <c r="H367"/>
  <c r="F367"/>
  <c r="D367"/>
  <c r="C367"/>
  <c r="H366"/>
  <c r="H365"/>
  <c r="H364"/>
  <c r="H363"/>
  <c r="H362"/>
  <c r="H361"/>
  <c r="H360"/>
  <c r="F360"/>
  <c r="D360"/>
  <c r="G360" s="1"/>
  <c r="H359"/>
  <c r="E358"/>
  <c r="H358" s="1"/>
  <c r="H357"/>
  <c r="H356"/>
  <c r="C356"/>
  <c r="H355"/>
  <c r="H354"/>
  <c r="H353"/>
  <c r="H352"/>
  <c r="H351"/>
  <c r="H350"/>
  <c r="H349"/>
  <c r="H348"/>
  <c r="H347"/>
  <c r="H346"/>
  <c r="E345"/>
  <c r="C345"/>
  <c r="H345" s="1"/>
  <c r="H344"/>
  <c r="H343"/>
  <c r="H342"/>
  <c r="H341"/>
  <c r="H340"/>
  <c r="H339"/>
  <c r="H338"/>
  <c r="H337"/>
  <c r="H336"/>
  <c r="H335"/>
  <c r="H334"/>
  <c r="H333"/>
  <c r="H332"/>
  <c r="H331"/>
  <c r="H330"/>
  <c r="E329"/>
  <c r="H329" s="1"/>
  <c r="H328"/>
  <c r="H327"/>
  <c r="H326"/>
  <c r="H325"/>
  <c r="E325"/>
  <c r="C325"/>
  <c r="H324"/>
  <c r="H323"/>
  <c r="H322"/>
  <c r="D322"/>
  <c r="H321"/>
  <c r="C321"/>
  <c r="H320"/>
  <c r="H319"/>
  <c r="C319"/>
  <c r="H318"/>
  <c r="H317"/>
  <c r="F317"/>
  <c r="D317"/>
  <c r="H316"/>
  <c r="E315"/>
  <c r="H315" s="1"/>
  <c r="C315"/>
  <c r="H314"/>
  <c r="D314"/>
  <c r="C313"/>
  <c r="H313" s="1"/>
  <c r="H312"/>
  <c r="H311"/>
  <c r="H310"/>
  <c r="H309"/>
  <c r="H308"/>
  <c r="H307"/>
  <c r="E307"/>
  <c r="C307"/>
  <c r="H306"/>
  <c r="H305"/>
  <c r="H304"/>
  <c r="H303"/>
  <c r="H302"/>
  <c r="H301"/>
  <c r="H300"/>
  <c r="C299"/>
  <c r="H299" s="1"/>
  <c r="H298"/>
  <c r="C298"/>
  <c r="H297"/>
  <c r="H296"/>
  <c r="H295"/>
  <c r="H294"/>
  <c r="F294"/>
  <c r="D294"/>
  <c r="G294" s="1"/>
  <c r="H293"/>
  <c r="C292"/>
  <c r="H292" s="1"/>
  <c r="H291"/>
  <c r="H290"/>
  <c r="H289"/>
  <c r="H288"/>
  <c r="F288"/>
  <c r="G288" s="1"/>
  <c r="D288"/>
  <c r="H287"/>
  <c r="H286"/>
  <c r="H285"/>
  <c r="F285"/>
  <c r="D285"/>
  <c r="G285" s="1"/>
  <c r="H284"/>
  <c r="H283"/>
  <c r="H282"/>
  <c r="H281"/>
  <c r="H280"/>
  <c r="H279"/>
  <c r="H278"/>
  <c r="H277"/>
  <c r="E276"/>
  <c r="H276" s="1"/>
  <c r="C276"/>
  <c r="H275"/>
  <c r="H274"/>
  <c r="H273"/>
  <c r="E273"/>
  <c r="C273"/>
  <c r="H272"/>
  <c r="H271"/>
  <c r="C271"/>
  <c r="H270"/>
  <c r="H269"/>
  <c r="H268"/>
  <c r="H267"/>
  <c r="H266"/>
  <c r="H265"/>
  <c r="H264"/>
  <c r="H263"/>
  <c r="H262"/>
  <c r="E261"/>
  <c r="H261" s="1"/>
  <c r="C261"/>
  <c r="H260"/>
  <c r="H259"/>
  <c r="F259"/>
  <c r="C259"/>
  <c r="D259" s="1"/>
  <c r="G259" s="1"/>
  <c r="H258"/>
  <c r="H257"/>
  <c r="H256"/>
  <c r="H255"/>
  <c r="H254"/>
  <c r="H253"/>
  <c r="H252"/>
  <c r="H251"/>
  <c r="F251"/>
  <c r="D251"/>
  <c r="G251" s="1"/>
  <c r="H250"/>
  <c r="H249"/>
  <c r="H248"/>
  <c r="H247"/>
  <c r="H246"/>
  <c r="H245"/>
  <c r="H244"/>
  <c r="H243"/>
  <c r="H242"/>
  <c r="H241"/>
  <c r="H240"/>
  <c r="H239"/>
  <c r="H238"/>
  <c r="H237"/>
  <c r="H236"/>
  <c r="H235"/>
  <c r="E235"/>
  <c r="C235"/>
  <c r="H234"/>
  <c r="H233"/>
  <c r="H232"/>
  <c r="F232"/>
  <c r="D232"/>
  <c r="G232" s="1"/>
  <c r="H231"/>
  <c r="H230"/>
  <c r="E229"/>
  <c r="H229" s="1"/>
  <c r="H228"/>
  <c r="H227"/>
  <c r="D227"/>
  <c r="H226"/>
  <c r="C226"/>
  <c r="H225"/>
  <c r="H224"/>
  <c r="H223"/>
  <c r="F223"/>
  <c r="D223"/>
  <c r="H222"/>
  <c r="H221"/>
  <c r="E221"/>
  <c r="H220"/>
  <c r="H219"/>
  <c r="H218"/>
  <c r="H217"/>
  <c r="H216"/>
  <c r="H215"/>
  <c r="H214"/>
  <c r="H213"/>
  <c r="H212"/>
  <c r="H211"/>
  <c r="H210"/>
  <c r="E210"/>
  <c r="C210"/>
  <c r="E209"/>
  <c r="F205" s="1"/>
  <c r="C209"/>
  <c r="H208"/>
  <c r="H207"/>
  <c r="H206"/>
  <c r="C205"/>
  <c r="H205" s="1"/>
  <c r="C204"/>
  <c r="H204" s="1"/>
  <c r="H203"/>
  <c r="H202"/>
  <c r="C202"/>
  <c r="H201"/>
  <c r="H200"/>
  <c r="G200"/>
  <c r="F200"/>
  <c r="D200"/>
  <c r="C199"/>
  <c r="H199" s="1"/>
  <c r="H198"/>
  <c r="C197"/>
  <c r="H197" s="1"/>
  <c r="H196"/>
  <c r="H195"/>
  <c r="F195"/>
  <c r="H194"/>
  <c r="C194"/>
  <c r="H193"/>
  <c r="H192"/>
  <c r="H191"/>
  <c r="H190"/>
  <c r="H189"/>
  <c r="H188"/>
  <c r="H187"/>
  <c r="H186"/>
  <c r="F185"/>
  <c r="E185"/>
  <c r="C185"/>
  <c r="H185" s="1"/>
  <c r="H184"/>
  <c r="C184"/>
  <c r="H183"/>
  <c r="H182"/>
  <c r="H181"/>
  <c r="H180"/>
  <c r="H179"/>
  <c r="H178"/>
  <c r="H177"/>
  <c r="F177"/>
  <c r="D177"/>
  <c r="G177" s="1"/>
  <c r="H176"/>
  <c r="H175"/>
  <c r="H174"/>
  <c r="H173"/>
  <c r="H172"/>
  <c r="H171"/>
  <c r="H170"/>
  <c r="H169"/>
  <c r="H168"/>
  <c r="H167"/>
  <c r="H166"/>
  <c r="H165"/>
  <c r="F165"/>
  <c r="D165"/>
  <c r="G165" s="1"/>
  <c r="H164"/>
  <c r="H163"/>
  <c r="H162"/>
  <c r="H161"/>
  <c r="C160"/>
  <c r="H160" s="1"/>
  <c r="H155"/>
  <c r="H154"/>
  <c r="H153"/>
  <c r="F153"/>
  <c r="D153"/>
  <c r="G153" s="1"/>
  <c r="H152"/>
  <c r="H151"/>
  <c r="H150"/>
  <c r="H149"/>
  <c r="H148"/>
  <c r="H147"/>
  <c r="H146"/>
  <c r="H145"/>
  <c r="H144"/>
  <c r="H143"/>
  <c r="H142"/>
  <c r="H141"/>
  <c r="H140"/>
  <c r="H139"/>
  <c r="H138"/>
  <c r="H137"/>
  <c r="H136"/>
  <c r="H135"/>
  <c r="H134"/>
  <c r="H133"/>
  <c r="H132"/>
  <c r="H131"/>
  <c r="H130"/>
  <c r="H129"/>
  <c r="H128"/>
  <c r="H127"/>
  <c r="H126"/>
  <c r="H125"/>
  <c r="H124"/>
  <c r="E123"/>
  <c r="C123"/>
  <c r="H123" s="1"/>
  <c r="H122"/>
  <c r="H121"/>
  <c r="E120"/>
  <c r="H120" s="1"/>
  <c r="H119"/>
  <c r="H114"/>
  <c r="H113"/>
  <c r="F113"/>
  <c r="D113"/>
  <c r="H112"/>
  <c r="H111"/>
  <c r="F111"/>
  <c r="G111" s="1"/>
  <c r="D111"/>
  <c r="H110"/>
  <c r="H109"/>
  <c r="F109"/>
  <c r="D109"/>
  <c r="H108"/>
  <c r="H107"/>
  <c r="H106"/>
  <c r="H105"/>
  <c r="H104"/>
  <c r="H103"/>
  <c r="H102"/>
  <c r="C102"/>
  <c r="H101"/>
  <c r="F101"/>
  <c r="D101"/>
  <c r="G101" s="1"/>
  <c r="H100"/>
  <c r="H99"/>
  <c r="H98"/>
  <c r="H97"/>
  <c r="F97"/>
  <c r="D97"/>
  <c r="G97" s="1"/>
  <c r="H96"/>
  <c r="H95"/>
  <c r="H94"/>
  <c r="H93"/>
  <c r="H92"/>
  <c r="H91"/>
  <c r="H90"/>
  <c r="F90"/>
  <c r="D90"/>
  <c r="G90" s="1"/>
  <c r="H89"/>
  <c r="H88"/>
  <c r="H87"/>
  <c r="H86"/>
  <c r="H85"/>
  <c r="H84"/>
  <c r="H83"/>
  <c r="H82"/>
  <c r="E82"/>
  <c r="C82"/>
  <c r="H81"/>
  <c r="G81"/>
  <c r="F81"/>
  <c r="D81"/>
  <c r="H80"/>
  <c r="H79"/>
  <c r="C78"/>
  <c r="H78" s="1"/>
  <c r="H77"/>
  <c r="H76"/>
  <c r="F76"/>
  <c r="D76"/>
  <c r="G76" s="1"/>
  <c r="H75"/>
  <c r="H74"/>
  <c r="H73"/>
  <c r="H72"/>
  <c r="H71"/>
  <c r="F71"/>
  <c r="D71"/>
  <c r="H70"/>
  <c r="H69"/>
  <c r="H68"/>
  <c r="H67"/>
  <c r="H66"/>
  <c r="F66"/>
  <c r="D66"/>
  <c r="G66" s="1"/>
  <c r="H65"/>
  <c r="H64"/>
  <c r="H63"/>
  <c r="H62"/>
  <c r="H61"/>
  <c r="F61"/>
  <c r="D61"/>
  <c r="G61" s="1"/>
  <c r="H60"/>
  <c r="H59"/>
  <c r="H58"/>
  <c r="C57"/>
  <c r="D56" s="1"/>
  <c r="E56"/>
  <c r="F56" s="1"/>
  <c r="E55"/>
  <c r="H55" s="1"/>
  <c r="H54"/>
  <c r="H53"/>
  <c r="H52"/>
  <c r="H51"/>
  <c r="F51"/>
  <c r="D51"/>
  <c r="G51" s="1"/>
  <c r="H50"/>
  <c r="H49"/>
  <c r="H48"/>
  <c r="C47"/>
  <c r="H47" s="1"/>
  <c r="H46"/>
  <c r="H45"/>
  <c r="F45"/>
  <c r="D45"/>
  <c r="G45" s="1"/>
  <c r="H44"/>
  <c r="H43"/>
  <c r="H42"/>
  <c r="H41"/>
  <c r="H40"/>
  <c r="F40"/>
  <c r="D40"/>
  <c r="G40" s="1"/>
  <c r="H39"/>
  <c r="H38"/>
  <c r="H37"/>
  <c r="H36"/>
  <c r="H35"/>
  <c r="H34"/>
  <c r="H33"/>
  <c r="F33"/>
  <c r="G33" s="1"/>
  <c r="D33"/>
  <c r="E32"/>
  <c r="H32" s="1"/>
  <c r="H31"/>
  <c r="H30"/>
  <c r="H29"/>
  <c r="E28"/>
  <c r="F27" s="1"/>
  <c r="G27" s="1"/>
  <c r="H27"/>
  <c r="D27"/>
  <c r="H26"/>
  <c r="H25"/>
  <c r="H24"/>
  <c r="C23"/>
  <c r="D20" s="1"/>
  <c r="G20" s="1"/>
  <c r="H22"/>
  <c r="H21"/>
  <c r="H20"/>
  <c r="F20"/>
  <c r="E19"/>
  <c r="H19" s="1"/>
  <c r="H18"/>
  <c r="H17"/>
  <c r="C16"/>
  <c r="H16" s="1"/>
  <c r="H15"/>
  <c r="H14"/>
  <c r="H13"/>
  <c r="C12"/>
  <c r="H12" s="1"/>
  <c r="F11"/>
  <c r="E11"/>
  <c r="H11" s="1"/>
  <c r="D11"/>
  <c r="G11" s="1"/>
  <c r="H10"/>
  <c r="H9"/>
  <c r="H8"/>
  <c r="H7"/>
  <c r="C6"/>
  <c r="H6" s="1"/>
  <c r="H5"/>
  <c r="H4"/>
  <c r="E4"/>
  <c r="F3"/>
  <c r="E3"/>
  <c r="H3" s="1"/>
  <c r="G3" l="1"/>
  <c r="H23"/>
  <c r="H28"/>
  <c r="H57"/>
  <c r="G113"/>
  <c r="D195"/>
  <c r="G195" s="1"/>
  <c r="D205"/>
  <c r="G205" s="1"/>
  <c r="H209"/>
  <c r="F314"/>
  <c r="G314" s="1"/>
  <c r="F322"/>
  <c r="G322" s="1"/>
  <c r="H458"/>
  <c r="G512"/>
  <c r="H539"/>
  <c r="D3"/>
  <c r="G56"/>
  <c r="G71"/>
  <c r="G109"/>
  <c r="G223"/>
  <c r="G317"/>
  <c r="G367"/>
  <c r="G406"/>
  <c r="H421"/>
  <c r="G463"/>
  <c r="D476"/>
  <c r="G476" s="1"/>
  <c r="G502"/>
  <c r="D185"/>
  <c r="G185" s="1"/>
  <c r="F227"/>
  <c r="G227" s="1"/>
  <c r="G410"/>
  <c r="G507"/>
  <c r="D518"/>
  <c r="G518" s="1"/>
  <c r="G528"/>
  <c r="H56"/>
</calcChain>
</file>

<file path=xl/comments1.xml><?xml version="1.0" encoding="utf-8"?>
<comments xmlns="http://schemas.openxmlformats.org/spreadsheetml/2006/main">
  <authors>
    <author>Administrator</author>
  </authors>
  <commentList>
    <comment ref="A2" authorId="0">
      <text>
        <r>
          <rPr>
            <b/>
            <sz val="9"/>
            <rFont val="Tahoma"/>
            <family val="2"/>
          </rPr>
          <t>Administrator:</t>
        </r>
        <r>
          <rPr>
            <sz val="9"/>
            <rFont val="Tahoma"/>
            <family val="2"/>
          </rPr>
          <t xml:space="preserve">
</t>
        </r>
        <r>
          <rPr>
            <sz val="9"/>
            <rFont val="宋体"/>
            <charset val="134"/>
          </rPr>
          <t>对账决算梳理</t>
        </r>
      </text>
    </comment>
    <comment ref="I3" authorId="0">
      <text>
        <r>
          <rPr>
            <b/>
            <sz val="9"/>
            <rFont val="宋体"/>
            <charset val="134"/>
          </rPr>
          <t>Administrator:</t>
        </r>
        <r>
          <rPr>
            <sz val="9"/>
            <rFont val="宋体"/>
            <charset val="134"/>
          </rPr>
          <t xml:space="preserve">
备注标注存量的从存量资金中结余的，存量无法结转下年度使用已经盘活到2022年财力中
</t>
        </r>
      </text>
    </comment>
    <comment ref="C4" authorId="0">
      <text>
        <r>
          <rPr>
            <b/>
            <sz val="9"/>
            <rFont val="Tahoma"/>
            <family val="2"/>
          </rPr>
          <t>Administrator:</t>
        </r>
        <r>
          <rPr>
            <sz val="9"/>
            <rFont val="Tahoma"/>
            <family val="2"/>
          </rPr>
          <t xml:space="preserve">
</t>
        </r>
        <r>
          <rPr>
            <sz val="9"/>
            <rFont val="宋体"/>
            <charset val="134"/>
          </rPr>
          <t>黄色为年初的盘活存量资金</t>
        </r>
      </text>
    </comment>
    <comment ref="C5" authorId="0">
      <text>
        <r>
          <rPr>
            <b/>
            <sz val="9"/>
            <rFont val="Tahoma"/>
            <family val="2"/>
          </rPr>
          <t>Administrator:</t>
        </r>
        <r>
          <rPr>
            <sz val="9"/>
            <rFont val="Tahoma"/>
            <family val="2"/>
          </rPr>
          <t xml:space="preserve">
</t>
        </r>
        <r>
          <rPr>
            <sz val="9"/>
            <rFont val="宋体"/>
            <charset val="134"/>
          </rPr>
          <t>空白无色代表一般公共预算资金，总决算部分，不含有颜色标注的</t>
        </r>
      </text>
    </comment>
    <comment ref="H6" authorId="0">
      <text>
        <r>
          <rPr>
            <b/>
            <sz val="9"/>
            <rFont val="Tahoma"/>
            <family val="2"/>
          </rPr>
          <t>Administrator:</t>
        </r>
        <r>
          <rPr>
            <sz val="9"/>
            <rFont val="Tahoma"/>
            <family val="2"/>
          </rPr>
          <t xml:space="preserve">
</t>
        </r>
        <r>
          <rPr>
            <sz val="9"/>
            <rFont val="宋体"/>
            <charset val="134"/>
          </rPr>
          <t>备注未标注存量的有余额的可以结转使用</t>
        </r>
      </text>
    </comment>
    <comment ref="C8" authorId="0">
      <text>
        <r>
          <rPr>
            <b/>
            <sz val="9"/>
            <rFont val="Tahoma"/>
            <family val="2"/>
          </rPr>
          <t>Administrator:</t>
        </r>
        <r>
          <rPr>
            <sz val="9"/>
            <rFont val="Tahoma"/>
            <family val="2"/>
          </rPr>
          <t xml:space="preserve">
</t>
        </r>
        <r>
          <rPr>
            <sz val="9"/>
            <rFont val="宋体"/>
            <charset val="134"/>
          </rPr>
          <t>橙色为中途追加的存量资金</t>
        </r>
      </text>
    </comment>
    <comment ref="H8" authorId="0">
      <text>
        <r>
          <rPr>
            <b/>
            <sz val="9"/>
            <rFont val="Tahoma"/>
            <family val="2"/>
          </rPr>
          <t>Administrator:</t>
        </r>
        <r>
          <rPr>
            <sz val="9"/>
            <rFont val="Tahoma"/>
            <family val="2"/>
          </rPr>
          <t xml:space="preserve">
Administrator:
</t>
        </r>
        <r>
          <rPr>
            <sz val="9"/>
            <rFont val="宋体"/>
            <charset val="134"/>
          </rPr>
          <t>备注标注存量的从存量资金中结余的</t>
        </r>
      </text>
    </comment>
    <comment ref="I8" authorId="0">
      <text>
        <r>
          <rPr>
            <b/>
            <sz val="9"/>
            <rFont val="Tahoma"/>
            <family val="2"/>
          </rPr>
          <t>Administrator:</t>
        </r>
        <r>
          <rPr>
            <sz val="9"/>
            <rFont val="Tahoma"/>
            <family val="2"/>
          </rPr>
          <t xml:space="preserve">
</t>
        </r>
        <r>
          <rPr>
            <sz val="9"/>
            <rFont val="宋体"/>
            <charset val="134"/>
          </rPr>
          <t>备注标注存量的从存量资金中结余的，存量无法结转下年度使用已经盘活到</t>
        </r>
        <r>
          <rPr>
            <sz val="9"/>
            <rFont val="Tahoma"/>
            <family val="2"/>
          </rPr>
          <t>2022</t>
        </r>
        <r>
          <rPr>
            <sz val="9"/>
            <rFont val="宋体"/>
            <charset val="134"/>
          </rPr>
          <t>年财力中</t>
        </r>
      </text>
    </comment>
  </commentList>
</comments>
</file>

<file path=xl/sharedStrings.xml><?xml version="1.0" encoding="utf-8"?>
<sst xmlns="http://schemas.openxmlformats.org/spreadsheetml/2006/main" count="1152" uniqueCount="609">
  <si>
    <t>2021预算国库对账</t>
  </si>
  <si>
    <t>单位</t>
  </si>
  <si>
    <t>项目</t>
  </si>
  <si>
    <t>预算金额</t>
  </si>
  <si>
    <t>支出</t>
  </si>
  <si>
    <t>备注</t>
  </si>
  <si>
    <t>丁青镇</t>
  </si>
  <si>
    <t>聘用干部工资</t>
  </si>
  <si>
    <t>47135.2调整为存量</t>
  </si>
  <si>
    <t>半脱产干部工资</t>
  </si>
  <si>
    <t>存量</t>
  </si>
  <si>
    <t>基层政权建设经费</t>
  </si>
  <si>
    <t>年初</t>
  </si>
  <si>
    <t>工资性支出</t>
  </si>
  <si>
    <t>昌财预指[2021]28号调整5390年初</t>
  </si>
  <si>
    <t>个人对家庭补助</t>
  </si>
  <si>
    <t>丁青村、茶龙村村集体土地征用补偿资金</t>
  </si>
  <si>
    <t>存量80405640.78</t>
  </si>
  <si>
    <t>公用经费支出</t>
  </si>
  <si>
    <t>社区建设</t>
  </si>
  <si>
    <t>协雄乡</t>
  </si>
  <si>
    <t>年初调减90370</t>
  </si>
  <si>
    <t>朗通村易地搬迁9标段补偿</t>
  </si>
  <si>
    <t>协雄乡供暖工程</t>
  </si>
  <si>
    <t>协麦村失地群众生活补助</t>
  </si>
  <si>
    <t>昌财预指[2021]28号</t>
  </si>
  <si>
    <t>昌财预指[2021]28号调整3680年初</t>
  </si>
  <si>
    <t>存量45167调整为存量</t>
  </si>
  <si>
    <t>觉恩乡</t>
  </si>
  <si>
    <t>昌财预指[2021]28号调整2680年初</t>
  </si>
  <si>
    <t>食堂改扩建398349元、食堂设备采购70000元。</t>
  </si>
  <si>
    <t>尺牍镇</t>
  </si>
  <si>
    <t>2020年1月-2021年尺牍镇老政协老干部工资</t>
  </si>
  <si>
    <t>色扎乡</t>
  </si>
  <si>
    <t>色扎乡街道围栏及停车位划定项目资金</t>
  </si>
  <si>
    <t>沙贡乡</t>
  </si>
  <si>
    <t>甘岩乡</t>
  </si>
  <si>
    <t>调减250459.66元年初</t>
  </si>
  <si>
    <t>新建阳光棚216012元、办公用品及设备104360元</t>
  </si>
  <si>
    <t>巴达乡</t>
  </si>
  <si>
    <t>当堆乡</t>
  </si>
  <si>
    <t>调整48100昌财预指[2021]28号年初</t>
  </si>
  <si>
    <t>桑多乡</t>
  </si>
  <si>
    <t>布塔乡</t>
  </si>
  <si>
    <t>木塔乡</t>
  </si>
  <si>
    <t>嘎塔乡</t>
  </si>
  <si>
    <t>调减15.83746年初</t>
  </si>
  <si>
    <t>丁青县县委办</t>
  </si>
  <si>
    <t>县委慰问经费</t>
  </si>
  <si>
    <t>档案馆（县委史志研究中心）馆藏档案日常维护费</t>
  </si>
  <si>
    <t>县委办机要工作经费预算</t>
  </si>
  <si>
    <t>志签和党史经费</t>
  </si>
  <si>
    <t>会议经费</t>
  </si>
  <si>
    <t>慰问经费</t>
  </si>
  <si>
    <t>县委办保密工作经费预算</t>
  </si>
  <si>
    <t>人大</t>
  </si>
  <si>
    <t>人大会议费</t>
  </si>
  <si>
    <t>乡镇人大保障经费</t>
  </si>
  <si>
    <t>联网监督平台建设经费</t>
  </si>
  <si>
    <t>会议费</t>
  </si>
  <si>
    <t>十三届县级人大换届经费</t>
  </si>
  <si>
    <t>县政协办</t>
  </si>
  <si>
    <t>会议经费一般</t>
  </si>
  <si>
    <t>县政府办</t>
  </si>
  <si>
    <t>会议室经费</t>
  </si>
  <si>
    <t>供暖公司锅炉运行总承包费</t>
  </si>
  <si>
    <t>2020.10-2021.4月供暖公司锅炉运行总承包费3361642元，2021年10-12月运行232万元。</t>
  </si>
  <si>
    <t>行政审批大厅搬迁</t>
  </si>
  <si>
    <t>全县维稳经费</t>
  </si>
  <si>
    <t>村级组织活动场所办公用品及相关设备</t>
  </si>
  <si>
    <t>总工会</t>
  </si>
  <si>
    <t>妇联</t>
  </si>
  <si>
    <t>农牧局</t>
  </si>
  <si>
    <t>培育新型农业经营</t>
  </si>
  <si>
    <t>昌财农指[2021]12号</t>
  </si>
  <si>
    <t>农技推广</t>
  </si>
  <si>
    <t>草原生态补助</t>
  </si>
  <si>
    <t>非洲猪瘟等重大动物防疫</t>
  </si>
  <si>
    <t>畜牧良种补贴</t>
  </si>
  <si>
    <t>关于下达2021年度自治区财政农业相关转移支付资金预算指标的通知</t>
  </si>
  <si>
    <t>关于下达2020年中央财政农业生产救灾（饲草料储备）资金的通知</t>
  </si>
  <si>
    <t>昌财农指[2021]14号</t>
  </si>
  <si>
    <t>关于下达财政局关于下达2021年牦牛经济杂交工作相关经费的通知</t>
  </si>
  <si>
    <t>昌财农指[2021]20号</t>
  </si>
  <si>
    <t>关于下达2021年中央财政农田建设补助（第二批）资金的通知</t>
  </si>
  <si>
    <t>昌财农指[2021]29号
昌财农指[2021]82号
401年初</t>
  </si>
  <si>
    <t>农村集体产权制度改革经费</t>
  </si>
  <si>
    <t>2020-2021涉农保险补录县级配套</t>
  </si>
  <si>
    <t>2021年度农用化肥资金县级配套</t>
  </si>
  <si>
    <t>2021牦牛经济杂交推广建设项目县级配套</t>
  </si>
  <si>
    <t>2021年村级动物防疫员基本报酬</t>
  </si>
  <si>
    <t>2021年农用化肥采购县级配套重复调减</t>
  </si>
  <si>
    <t>“西藏和平解放70周年”大庆礼品运输费</t>
  </si>
  <si>
    <t>关于下达2021年中央财政农业相关转移支付预算指标的通知</t>
  </si>
  <si>
    <t>昌财农指[2021]30号</t>
  </si>
  <si>
    <t>关于下达中央财政实际种粮农民一次性补贴资金的通知</t>
  </si>
  <si>
    <t>昌财农指[2021】47号</t>
  </si>
  <si>
    <t>关于下达2021年度农用化肥采购资金的通知</t>
  </si>
  <si>
    <t>昌财农指[2021]54号</t>
  </si>
  <si>
    <t>关于下达2021年度农业相关转移支付资金的通知</t>
  </si>
  <si>
    <t>昌财农指[2021]56号</t>
  </si>
  <si>
    <t>关于下达2017-2020年度农用化肥清算资金的通知县级配套</t>
  </si>
  <si>
    <t>关于下达2017-2020年度农用化肥清算资金的通知</t>
  </si>
  <si>
    <t>昌财农指[2021]63号</t>
  </si>
  <si>
    <t>关于下达2020年招聘大学生村（居）科技专干、义务人员、农业农村工作专员和乡村幼教人员待遇经费预算指标的通知</t>
  </si>
  <si>
    <t>昌财社指[2021]19号</t>
  </si>
  <si>
    <t>关于下达2020年度全市农牧民增收、农牧区劳动力转移就业、青稞肉奶增产奖励扶持资金的通知</t>
  </si>
  <si>
    <t>昌财农指[2021]76号</t>
  </si>
  <si>
    <t>关于下达2021年牛羊出售补贴资金预算指标的通知</t>
  </si>
  <si>
    <t>昌财农指[2021]80号</t>
  </si>
  <si>
    <t>关于下达“厕所革命”整村推进财政奖补资金的通知</t>
  </si>
  <si>
    <t>农指87</t>
  </si>
  <si>
    <t>2020年农药采购</t>
  </si>
  <si>
    <t>关于下达丁青县2019年人工种草与天然草地改良工程投资的通知</t>
  </si>
  <si>
    <t>昌财建指[2021]33号</t>
  </si>
  <si>
    <t>关于下达丁青县2018年人工种草与天然草场改良建设工程中央预算内投资的通知</t>
  </si>
  <si>
    <t>昌财建指[2021]35号</t>
  </si>
  <si>
    <t>2021年农药采购县级配套资金</t>
  </si>
  <si>
    <t>2021年村级兽防员工资县级配套</t>
  </si>
  <si>
    <t>关于下达2021年“三区”科技人才支持计划专项资金预算指标的通知</t>
  </si>
  <si>
    <t>昌财综指[2021]45号</t>
  </si>
  <si>
    <t>2021年科技特派员工资市级配套</t>
  </si>
  <si>
    <t>昌财综指[2021]10号</t>
  </si>
  <si>
    <t>2021年科技特派员工资县级配套</t>
  </si>
  <si>
    <t>2020年招聘农牧专干与科技专干县级配套(2020-2021年报酬）</t>
  </si>
  <si>
    <t>涉农商业保险保费</t>
  </si>
  <si>
    <t>关于下达2021年土地增减挂钩跨省域调出收入安排支出预算的通知</t>
  </si>
  <si>
    <t>昌财农指[2021]81号</t>
  </si>
  <si>
    <t>扶持村集体经济发展资金</t>
  </si>
  <si>
    <t>教育</t>
  </si>
  <si>
    <t>县级配套23%</t>
  </si>
  <si>
    <t>“三包”经费</t>
  </si>
  <si>
    <t>教育事业费</t>
  </si>
  <si>
    <t>昌财预指[2021]34号追加12349800元
昌财预指[2021]3号254.41万元、
昌财预指[2021]2号1305.61万元
年初51430000</t>
  </si>
  <si>
    <t>关于下达2020年教育经费清算资金预算指标的通知</t>
  </si>
  <si>
    <t>教育共同财政事权转移支付项目支出</t>
  </si>
  <si>
    <t>关于调整2021年教育经费预算指标的通知</t>
  </si>
  <si>
    <t>教育共同财政事权转移支付基本支出</t>
  </si>
  <si>
    <t>昌财综指[2021]39号18105350
昌财综指[2021]47号6966550
年初283677423.96</t>
  </si>
  <si>
    <t>2020年乡村教师报酬县级配套（四类人员）</t>
  </si>
  <si>
    <t>关于下达丁青县第二初级中学工程中央基建投资预算（拨款）的通知</t>
  </si>
  <si>
    <t>昌财建指[2021]87号</t>
  </si>
  <si>
    <t>关于下达城乡义务教育补助经费（第三批）直达资金预算指标的通知</t>
  </si>
  <si>
    <t>昌财预指[2021]27号</t>
  </si>
  <si>
    <t>宣传部</t>
  </si>
  <si>
    <t>关于下达2021年农村电影公映场次补贴的批复</t>
  </si>
  <si>
    <t>昌财行指【2021】70号</t>
  </si>
  <si>
    <t>建党100周年和虫草艺术节活动经费</t>
  </si>
  <si>
    <t>征订党报党刊经费</t>
  </si>
  <si>
    <t>关于下达公共文化服务体系建设（新时代文明实践中心建设试点项目）补助资金预算指标的通知</t>
  </si>
  <si>
    <t>昌财行指【2021】30号</t>
  </si>
  <si>
    <t>关于下达2021年中央补助地方县级融媒体中心建设项目资金预算指标的通知</t>
  </si>
  <si>
    <t>昌财行指【2021】48号</t>
  </si>
  <si>
    <t>创建文明城市经费</t>
  </si>
  <si>
    <t>关于修建丁青县县域内龙架式牌坊经费</t>
  </si>
  <si>
    <t>融媒体中心2021年防辐射补助</t>
  </si>
  <si>
    <t>广播电视节目无线覆盖运行维护费（数字）</t>
  </si>
  <si>
    <t>宣传部生活补助经费</t>
  </si>
  <si>
    <t>丁青县司法局</t>
  </si>
  <si>
    <t>社区矫正</t>
  </si>
  <si>
    <t>人民调解</t>
  </si>
  <si>
    <t>普法宣传经费</t>
  </si>
  <si>
    <t>必接必送</t>
  </si>
  <si>
    <t>法律援助</t>
  </si>
  <si>
    <t>政法转移支付</t>
  </si>
  <si>
    <t>昌财行指[2021]74号年初</t>
  </si>
  <si>
    <t>丁青县公安局</t>
  </si>
  <si>
    <t>个人和家庭补助</t>
  </si>
  <si>
    <t>辅警住房公积金、养老保险</t>
  </si>
  <si>
    <t>扣发2018年1至5月份辅警养老保险差额补缴</t>
  </si>
  <si>
    <t>辅警工资一般</t>
  </si>
  <si>
    <t>辅警工资</t>
  </si>
  <si>
    <t>生活补助</t>
  </si>
  <si>
    <t>扫黑除恶</t>
  </si>
  <si>
    <t>昌财行指[2021]62号年初</t>
  </si>
  <si>
    <t>检察院</t>
  </si>
  <si>
    <t>书记员工资、绩效及单位缴纳社保</t>
  </si>
  <si>
    <t>书记员工资、绩效及单位缴纳社保一般</t>
  </si>
  <si>
    <t>昌财行指[2021]5号4.24万元年初</t>
  </si>
  <si>
    <t>昌财行指[2021]74号追加31.25万元年初</t>
  </si>
  <si>
    <t>法院</t>
  </si>
  <si>
    <t>聘用制书记员工资</t>
  </si>
  <si>
    <t>司法救助</t>
  </si>
  <si>
    <t>昌财行指69号追加142.29万元年初</t>
  </si>
  <si>
    <t>人社局</t>
  </si>
  <si>
    <t>就业创业补助资金一般</t>
  </si>
  <si>
    <t>昌财社指[2021]22号100万元年初</t>
  </si>
  <si>
    <t>就业创业补助资金</t>
  </si>
  <si>
    <t>劳动监察专项资金</t>
  </si>
  <si>
    <t>公益性岗位</t>
  </si>
  <si>
    <t>公益性岗位补贴一般</t>
  </si>
  <si>
    <t>914977.32调整为年初一般预算584257.32和社指59号列支年初</t>
  </si>
  <si>
    <t>关于下达2021年公益性岗位政府补贴提标资金预算指标的通知</t>
  </si>
  <si>
    <t>昌财社指〔2021〕59号
昌财预指[2021]28号330720</t>
  </si>
  <si>
    <t>县级电网企业职工基本养老保险补缴上解部分</t>
  </si>
  <si>
    <t>昌财预指[2021]32号</t>
  </si>
  <si>
    <t>转移支付</t>
  </si>
  <si>
    <t>城乡居民基本养老保险</t>
  </si>
  <si>
    <t>退休机关固定工体检费</t>
  </si>
  <si>
    <t>农牧民技能培训</t>
  </si>
  <si>
    <t>关于下达2021年昌都市高校毕业生市场就业补贴资金预算指标的通知</t>
  </si>
  <si>
    <t>昌财社指[2021]17号</t>
  </si>
  <si>
    <t>关于下达2021年度农牧民技能培训补助资金预算指标的通知</t>
  </si>
  <si>
    <t>昌财社指〔2021〕30号</t>
  </si>
  <si>
    <t>“三支一扶”补助资金、差旅费</t>
  </si>
  <si>
    <t>关于下达昌都市2021年“三支一扶”相关资金预算指标的通知</t>
  </si>
  <si>
    <t>昌财社指〔2021〕66号</t>
  </si>
  <si>
    <t>昌都市生态环境局丁青县分局</t>
  </si>
  <si>
    <t>生态文明乡镇及生态文明村居创建提档升级工作经费</t>
  </si>
  <si>
    <t>生态环境保护县级投入资金</t>
  </si>
  <si>
    <t>关于下达2020年度环境保护奖惩资金预算指标的通知</t>
  </si>
  <si>
    <t>昌财农指[2021]41号</t>
  </si>
  <si>
    <t>西藏自治区丁青县怒江上游协曲河生态修复与保护工程</t>
  </si>
  <si>
    <t>昌财农指[2021]75号追加年初17324020</t>
  </si>
  <si>
    <t>团委</t>
  </si>
  <si>
    <t>志愿者补助经费</t>
  </si>
  <si>
    <t>基层团组织</t>
  </si>
  <si>
    <t>工作专项经费</t>
  </si>
  <si>
    <t>林草局</t>
  </si>
  <si>
    <t>野生动物肇事保险补贴</t>
  </si>
  <si>
    <t>国土绿化（含义务植树）</t>
  </si>
  <si>
    <t>国土绿化（含义务植树）一般</t>
  </si>
  <si>
    <t>关于下达2021年自治区财政草原生态保护补助奖励资金（生态保护岗位补助）的通知</t>
  </si>
  <si>
    <t>昌财农指[2021]22号
昌财农指[2021]40号
1820年初农业专林草</t>
  </si>
  <si>
    <t>关于下达丁青县2020年退牧还草工程中央预算基建投资预算（拨款）的通知</t>
  </si>
  <si>
    <t>昌财建指[2021]73号</t>
  </si>
  <si>
    <t>关于下达2021年天然林停伐补助资金</t>
  </si>
  <si>
    <t>昌财农指[2021]10号</t>
  </si>
  <si>
    <t>完善退耕还林政策补助支出</t>
  </si>
  <si>
    <t>新一轮退耕还林补助支出</t>
  </si>
  <si>
    <t>新一轮退耕还草补助支出</t>
  </si>
  <si>
    <t>关于下达2021年乡村“四旁”植树专项资金预算指标的通知</t>
  </si>
  <si>
    <t>昌财农指[2021]38号</t>
  </si>
  <si>
    <t>关于下达2021年度陆生野生动物肇事保险预算指标的通知</t>
  </si>
  <si>
    <t>关于调整2021年林业和草原相关资金预算指标的通知</t>
  </si>
  <si>
    <t>昌财农指[2021]74号</t>
  </si>
  <si>
    <t>森林资源管护支出</t>
  </si>
  <si>
    <t>草原生态修复治理补助支出</t>
  </si>
  <si>
    <t>生态护林员补助（统筹用于脱贫攻坚—生态岗位补助）支出</t>
  </si>
  <si>
    <t>国土绿化支出支出</t>
  </si>
  <si>
    <t>保护区管护</t>
  </si>
  <si>
    <t>发改委</t>
  </si>
  <si>
    <t>项管中心工作经费</t>
  </si>
  <si>
    <t>关于下达2021年度自治区储备粮油保管费的通知</t>
  </si>
  <si>
    <t>昌财经指[2021]38号</t>
  </si>
  <si>
    <t>丁青县部分村（组）变压器采购安装费</t>
  </si>
  <si>
    <t>电子政务外网预算费</t>
  </si>
  <si>
    <t>电子政务外网预算费一般</t>
  </si>
  <si>
    <t>关于下达2020年、2021年自治区级代储救灾物资管理经费的通知</t>
  </si>
  <si>
    <t>昌财经指[2021]17号</t>
  </si>
  <si>
    <t>扶贫办</t>
  </si>
  <si>
    <t>扶贫县级配套资金10%</t>
  </si>
  <si>
    <t>中央财政扶贫发展资金用于丁青县丁青镇热昌村商品猪养殖基地项目巩固提升工程支出</t>
  </si>
  <si>
    <t>中央财政扶贫发展资金用于丁青县甘岩乡易地搬迁安置点点内提升改造项目支出</t>
  </si>
  <si>
    <t>昌财农指[2021]9号514.59万元
年初861400</t>
  </si>
  <si>
    <t>中央财政扶贫发展资金用于丁青县当堆乡洛河村经济林种植项目巩固提升工程支出</t>
  </si>
  <si>
    <t>中央财政扶贫发展资金用于丁青县丁青镇热昌村商品猪养殖基地道路硬化工程支出</t>
  </si>
  <si>
    <t>丁青县巴达乡易地搬迁安置点点内提升改造项目</t>
  </si>
  <si>
    <t>昌财农指[2021]9号</t>
  </si>
  <si>
    <t>丁青县尺牍镇易地搬迁安置点点内提升改造项目</t>
  </si>
  <si>
    <t>丁青县布塔乡易地搬迁安置点点内提升改造项目</t>
  </si>
  <si>
    <t>丁青县木塔乡羊塔村易地搬迁安置点点内提升改造项目</t>
  </si>
  <si>
    <t>关于下达2021年政府再融资一般债券资金预算指标的通知</t>
  </si>
  <si>
    <t>昌财债指[2021]4号</t>
  </si>
  <si>
    <t>关于下达2021年自治区级财政专项扶贫资金预算的通知用于农牧民技能培训</t>
  </si>
  <si>
    <t>中央财政扶贫发展资金用于丁青县协雄乡协麦村三塔牌协雄奶牛养殖基地项目道路硬化工程支出</t>
  </si>
  <si>
    <t>中央财政扶贫发展资金用于丁青县协雄乡朗通村产业园区基础设施新建给水系统工程项目支出</t>
  </si>
  <si>
    <t>水利3000万元年初</t>
  </si>
  <si>
    <t>关于下达2016-2018年部分税收返还资金的通知</t>
  </si>
  <si>
    <t>昌财农指[2021]5号</t>
  </si>
  <si>
    <t>关于易地扶贫搬迁建设补助资金</t>
  </si>
  <si>
    <t>昌财农指[2021]4号
昌财农指[2021]43号</t>
  </si>
  <si>
    <t>关于下达扶贫小额信贷风险补偿金预算指标的通知</t>
  </si>
  <si>
    <t>昌财农指[2021]6号</t>
  </si>
  <si>
    <t>关于下达2021年财政衔接推进乡村振兴补助资金预算指标的通知</t>
  </si>
  <si>
    <t>昌财农指[2021]36号</t>
  </si>
  <si>
    <t>关于下达2019、2020年易地扶贫搬迁贷款贴息资金的通知</t>
  </si>
  <si>
    <t>昌财农指[2021]44号
昌财农指[2021]45号</t>
  </si>
  <si>
    <t>2019年农村基础设施建设债券利息及服务费</t>
  </si>
  <si>
    <t>2016-2019年脱贫攻坚整合资金</t>
  </si>
  <si>
    <t>关于下达2021年县级基本财力保障机制奖补资金（“三区三州”资金）预算的通知</t>
  </si>
  <si>
    <t>昌财农指[2021]64号</t>
  </si>
  <si>
    <t>中央财政扶贫发展资金用于丁青县协雄乡朗通村产业园基础设施排水管网工程项目支出</t>
  </si>
  <si>
    <t>中央财政扶贫发展资金用于丁青县嘎塔乡易地搬迁安置点点内提升改造项目支出</t>
  </si>
  <si>
    <t>商务局</t>
  </si>
  <si>
    <t>关于下达2019年招商引资奖励扶持资金的通知</t>
  </si>
  <si>
    <t>昌财经指[2021]15号</t>
  </si>
  <si>
    <t>旅发局</t>
  </si>
  <si>
    <t>旅游宣传经费</t>
  </si>
  <si>
    <t>昌都市丁青县全域旅游（2019-2030）</t>
  </si>
  <si>
    <t>旅游发展资金</t>
  </si>
  <si>
    <t>综指14号</t>
  </si>
  <si>
    <t>丁青县孜珠山景区总体规划详细规划专项规划费用</t>
  </si>
  <si>
    <t>住建</t>
  </si>
  <si>
    <t>2017年棚户区改造项目利息</t>
  </si>
  <si>
    <t>污水处理厂运营费</t>
  </si>
  <si>
    <t>棚户区贷款利息</t>
  </si>
  <si>
    <t>昌财预指【2021】10号</t>
  </si>
  <si>
    <t>2016年.2017年棚户区改造四季度利息</t>
  </si>
  <si>
    <t>中波台屋面维修</t>
  </si>
  <si>
    <t>依塔西村修建防熊围墙经费</t>
  </si>
  <si>
    <t>2016.2017棚户区本息</t>
  </si>
  <si>
    <t>巴达、木塔乡干部周转房及办公楼漏水维修费</t>
  </si>
  <si>
    <t>厕所维护费</t>
  </si>
  <si>
    <t>丁青县德吉路和县城第一中学对面及朗通坝城镇棚户区改造工程基建投资预算（拨款）的通知</t>
  </si>
  <si>
    <t>昌财建指[2021]83号</t>
  </si>
  <si>
    <t>关于下达丁青县县城排水防涝二期工程中央基建投资预算的通知</t>
  </si>
  <si>
    <t>昌财建指[2021]78号</t>
  </si>
  <si>
    <t>关于下达保障性安居工程配套基础设施建设中央预算内投资的通知</t>
  </si>
  <si>
    <t>昌财建指[2021]27号1825年初673.2万元</t>
  </si>
  <si>
    <t>关于下达2021年中央财政农村危房改造补助资金预算指标的通知</t>
  </si>
  <si>
    <t>昌财社指〔2021〕32号</t>
  </si>
  <si>
    <t>寺庙整改经费</t>
  </si>
  <si>
    <t>关于下达城镇低收入家庭租赁住房补贴自治区指标及结余资金清算的通知</t>
  </si>
  <si>
    <t>昌财综指[2021]24号
昌财综指[2021]25号</t>
  </si>
  <si>
    <t>关于下达11县（区）供氧系统试点补助资金的通知</t>
  </si>
  <si>
    <t>昌财预指[2021]9号</t>
  </si>
  <si>
    <t>城镇低收入住房困难家庭租赁住房补贴</t>
  </si>
  <si>
    <t>城镇棚户区</t>
  </si>
  <si>
    <t>昌财综指[2021]22号
昌财综指[2021]12号年初80万元</t>
  </si>
  <si>
    <t>纪检委</t>
  </si>
  <si>
    <t>办案经费</t>
  </si>
  <si>
    <t>年初巡察2330547.67调整</t>
  </si>
  <si>
    <t>政法委</t>
  </si>
  <si>
    <t>双联户经费（含户长补助）</t>
  </si>
  <si>
    <t>昌财行指[2021]52号年初2059000</t>
  </si>
  <si>
    <t>政法教育整顿专项经费</t>
  </si>
  <si>
    <t>虫草采集管理工作经费</t>
  </si>
  <si>
    <t>昌财预指[2021]28号调整1593725.87，年初307084.19</t>
  </si>
  <si>
    <t>丁青县组织部</t>
  </si>
  <si>
    <t>党建经费5%</t>
  </si>
  <si>
    <t>村级组织党建经费</t>
  </si>
  <si>
    <t>第一书记为群众办实事经费</t>
  </si>
  <si>
    <t>村（居）干部报酬待遇与绩效一般</t>
  </si>
  <si>
    <t>昌财农指[2021]32号466793
年初6085800</t>
  </si>
  <si>
    <t>村（居）干部报酬待遇与绩效</t>
  </si>
  <si>
    <t>各离退休干部党支部活动经费</t>
  </si>
  <si>
    <t>节日慰问、去世安置费、住院慰问金、抚养和赡养费</t>
  </si>
  <si>
    <t>去世干部抚恤金</t>
  </si>
  <si>
    <t>关于下达全区第九批驻村工作奖励经费预算指标的通知</t>
  </si>
  <si>
    <t>昌财行指[2021]45号</t>
  </si>
  <si>
    <t>离退休党组织班子成员工作补贴</t>
  </si>
  <si>
    <t>落实离退休干部参观考察制度经费预算</t>
  </si>
  <si>
    <t>离退休干部特困帮扶资金</t>
  </si>
  <si>
    <t>离退休干部住院护工费</t>
  </si>
  <si>
    <t>离退休干部职工体检费</t>
  </si>
  <si>
    <t>关于下达我市2021年乡村振兴专干报酬待遇预算指标的通知</t>
  </si>
  <si>
    <t>昌财社指[2021]15号</t>
  </si>
  <si>
    <t>离退休干部抚恤金、丧葬费、体检费、护工费、活动中心取暖费</t>
  </si>
  <si>
    <t xml:space="preserve">昌财预指[2021]28号 </t>
  </si>
  <si>
    <t>公务员辞退费用预算</t>
  </si>
  <si>
    <t>强基惠民驻村工作队生活补助</t>
  </si>
  <si>
    <t>2021年丁青县优秀公务员预算</t>
  </si>
  <si>
    <t>2021年全区村干部报酬和“三老人员”提标资金县级配套</t>
  </si>
  <si>
    <t>2021年大学生村官补助资金重复调减</t>
  </si>
  <si>
    <t>关于下达昌都市开展创先争优“强基惠民”活动驻村工作队生活补助和工作经费预算指标的通知</t>
  </si>
  <si>
    <t>昌财预指[2021]20号，超拨2203200</t>
  </si>
  <si>
    <t>2021年干部职工福利费</t>
  </si>
  <si>
    <t>昌财预指[2021]32号分配</t>
  </si>
  <si>
    <t>昌都市财政局关于下达全市第十批强基惠民工作经费预算指标的通知</t>
  </si>
  <si>
    <t>昌财预指[2021]17号</t>
  </si>
  <si>
    <t>选派大学生村官补助</t>
  </si>
  <si>
    <t>离退休干部外出治病差旅费</t>
  </si>
  <si>
    <t>组织部老干局办公经费</t>
  </si>
  <si>
    <t>强基办办公经费</t>
  </si>
  <si>
    <t>关于下达2021年大学生村官补助资金的批复</t>
  </si>
  <si>
    <t>昌财行指[2021]38号</t>
  </si>
  <si>
    <t>关于下达2020年度市级党内激励帮扶资金的批复</t>
  </si>
  <si>
    <t>昌财行指[2021]39号</t>
  </si>
  <si>
    <t>离任村级组织干部生活补助</t>
  </si>
  <si>
    <t>驻村工作队、村委会运行经费</t>
  </si>
  <si>
    <t>“三老人员”生活补助</t>
  </si>
  <si>
    <t>昌财农指[2021]39号21.34万元
昌财农指[2021]32号2.21
年初2016500</t>
  </si>
  <si>
    <t>“两新”党员活动经费</t>
  </si>
  <si>
    <t>换届经费</t>
  </si>
  <si>
    <t>党校教育培训经费预算</t>
  </si>
  <si>
    <t>丁青县交通局</t>
  </si>
  <si>
    <t>2019年农村公路债券利息及服务费</t>
  </si>
  <si>
    <t>政府债券2021年利息</t>
  </si>
  <si>
    <t>植被恢复费</t>
  </si>
  <si>
    <t>关于下达2021年自治区配套农村公路养护补助资金的通知</t>
  </si>
  <si>
    <t>昌财经指[2021]6号</t>
  </si>
  <si>
    <t>农村公路养护</t>
  </si>
  <si>
    <t>丁青县水利局</t>
  </si>
  <si>
    <t>关于下达2021年度自治区水利发展资金预算指标的通知</t>
  </si>
  <si>
    <t>昌财农指[2021]21号
昌财农指[2021]51号</t>
  </si>
  <si>
    <t>水利工程贷款利息</t>
  </si>
  <si>
    <t>关于下达2021年中央财政水利发展资金（农村饮水安全工程维修养护资金）的通知</t>
  </si>
  <si>
    <t>昌财农指[2021]48号</t>
  </si>
  <si>
    <t>税收返还清算资金用于还贷款</t>
  </si>
  <si>
    <t>中央水利发展资金（丁青县沙贡乡防洪工程项目）支出</t>
  </si>
  <si>
    <t>丁青县自然资源局</t>
  </si>
  <si>
    <t>抵拨各县补助支出（昌财农字201647号人工影响天气作业经费）</t>
  </si>
  <si>
    <t>无指标</t>
  </si>
  <si>
    <t>农村宅基地房地一体登记发证工作经费</t>
  </si>
  <si>
    <t>尼玛措姆房屋拆迁补助</t>
  </si>
  <si>
    <t>气象局经费</t>
  </si>
  <si>
    <t>地质灾害群防群测员补助</t>
  </si>
  <si>
    <t>民政局</t>
  </si>
  <si>
    <t>贫困残疾人生活补贴、重度护理补贴一般</t>
  </si>
  <si>
    <t>昌财社指〔2021〕52号20.736
年初7304700</t>
  </si>
  <si>
    <t>贫困残疾人生活补贴、重度护理补贴</t>
  </si>
  <si>
    <t>经济困难高龄失能老人补助一般</t>
  </si>
  <si>
    <t>昌财社指〔2021〕51号1.55
年初425200</t>
  </si>
  <si>
    <t>经济困难高龄失能老人补助</t>
  </si>
  <si>
    <t>2021年抚恤金</t>
  </si>
  <si>
    <t>昌财预指[2021]28号调整41120年初</t>
  </si>
  <si>
    <t>丁青县特困人员供养中心生活、管理用房维修资金</t>
  </si>
  <si>
    <t>关于下达我市2020年-2021年“双集中”机构运行及人员经费预算指标的通知</t>
  </si>
  <si>
    <t>昌财社指[2021]16号实际拨付441.01万元，退回1357400元</t>
  </si>
  <si>
    <t>抚恤事业费</t>
  </si>
  <si>
    <t>关于下达昌都市丁青县未成年人保护中心工程投资的通知</t>
  </si>
  <si>
    <t>昌财建指[2021]29号</t>
  </si>
  <si>
    <t>以奖代补资金</t>
  </si>
  <si>
    <t>关于下达2021年昌都市残疾人事业发展补助资金（一般公共预算部分）预算指标的通知</t>
  </si>
  <si>
    <t>昌财社指〔2021〕28号
昌财预指[2021]32号220元</t>
  </si>
  <si>
    <t>特困人员集中供养中心机构运转经费</t>
  </si>
  <si>
    <t>特困人员救助（原五保户供养）一般</t>
  </si>
  <si>
    <t>特困人员救助（原五保户供养）</t>
  </si>
  <si>
    <t>寿星老人</t>
  </si>
  <si>
    <t>关于下达昌都市农村留守儿童、困境儿童关爱保护资金预算指标的通知</t>
  </si>
  <si>
    <t>昌财社指〔2021〕47号</t>
  </si>
  <si>
    <t>困难群众救助补助（含城镇低保、农村低保，临时救助等）</t>
  </si>
  <si>
    <t>困难群众救助补助（含城镇低保、农村低保，临时救助等）一般</t>
  </si>
  <si>
    <t>昌财社指[2021]23号15157800
年初34914500</t>
  </si>
  <si>
    <t>残疾人康复</t>
  </si>
  <si>
    <t>残疾人就业和扶贫（托养服务项目）</t>
  </si>
  <si>
    <t>残疾人就业和扶贫（农村贫困残疾人实用技术培训）</t>
  </si>
  <si>
    <t>残疾人机动轮椅车燃油补贴</t>
  </si>
  <si>
    <t>人民医院</t>
  </si>
  <si>
    <t>昌财预指[2021]28号调整8240年初</t>
  </si>
  <si>
    <t>公用经费</t>
  </si>
  <si>
    <t>关于下达昌都市丁青县人民医院工程投资的通知</t>
  </si>
  <si>
    <t>昌财建指[2021]46号</t>
  </si>
  <si>
    <t>临时工工资</t>
  </si>
  <si>
    <t>信访局</t>
  </si>
  <si>
    <t>劝返费</t>
  </si>
  <si>
    <t>财政局</t>
  </si>
  <si>
    <t>政府购买服务一般</t>
  </si>
  <si>
    <t>国库支付系统银行业务代理费</t>
  </si>
  <si>
    <t>2020年代理国库手续</t>
  </si>
  <si>
    <t>财政网络租赁费</t>
  </si>
  <si>
    <t>非税电子票据改革经费</t>
  </si>
  <si>
    <t>调整县级收入38分配</t>
  </si>
  <si>
    <t>财务软件运行维护费</t>
  </si>
  <si>
    <t>昌财预指[2021]28号调整17600年初</t>
  </si>
  <si>
    <t>易地搬迁扶贫贷款贴息县级从10%配套支出</t>
  </si>
  <si>
    <t>昌财农指[2021]2号追加0.32万元年初8857300</t>
  </si>
  <si>
    <t>预备费</t>
  </si>
  <si>
    <t>财政账户手续费、支票费用</t>
  </si>
  <si>
    <t>政府购买服务经费</t>
  </si>
  <si>
    <t>办公室改造</t>
  </si>
  <si>
    <t>外聘人员经费（机关支出94000）</t>
  </si>
  <si>
    <t>存量调减92000元</t>
  </si>
  <si>
    <t>2021年债券到期本金利息及服务费</t>
  </si>
  <si>
    <t>丁青县卫健委</t>
  </si>
  <si>
    <t>实施国家基本药物制度财政补贴一般</t>
  </si>
  <si>
    <t>实施国家基本药物制度财政补贴</t>
  </si>
  <si>
    <t>人口与计划生育县级配套</t>
  </si>
  <si>
    <t>人口与计划生育县级配套一般</t>
  </si>
  <si>
    <t>城乡居民和在编僧尼体检经费（5:3:1）僧尼（1:2:1）</t>
  </si>
  <si>
    <t>城乡居民和在编僧尼体检经费（5:3:1）僧尼（1:2:1）一般</t>
  </si>
  <si>
    <t>2020年村医绩效县级配套</t>
  </si>
  <si>
    <t>关于下达昌都市2021年基本公共卫生服务补助资金预算指标的通知</t>
  </si>
  <si>
    <t>昌财社指[2021]25号</t>
  </si>
  <si>
    <t>关于下达2021年昌都市医疗服务与保障能力提升补助资金的预算指标通知</t>
  </si>
  <si>
    <t>昌财社指[2021]26号</t>
  </si>
  <si>
    <t>关于下达2021年昌都市医疗服务与保障能力提升补助资金的通知</t>
  </si>
  <si>
    <t>昌财社指[2021]27号</t>
  </si>
  <si>
    <t>关于下达2021年重大传染病防控经费预算指标的通知</t>
  </si>
  <si>
    <t>昌财社指〔2021〕46号</t>
  </si>
  <si>
    <t>关于下达2021年疫情防控专项转移支付资金预算的通知</t>
  </si>
  <si>
    <t>昌财社指〔2021〕49号</t>
  </si>
  <si>
    <t>关于下达新冠病毒疫苗及接种费用预算的通知</t>
  </si>
  <si>
    <t>昌财社指〔2021〕50号</t>
  </si>
  <si>
    <t>关于下达2021年昌都市医疗服务与保障能力提升（第三批）补助资金预算的通知</t>
  </si>
  <si>
    <t>昌财社指〔2021〕64号</t>
  </si>
  <si>
    <t>村医基本补贴资金</t>
  </si>
  <si>
    <t>村医基本补贴资金一般</t>
  </si>
  <si>
    <t>公立医院综合改革</t>
  </si>
  <si>
    <t>基本公共卫生服务经费</t>
  </si>
  <si>
    <t>高海拔地区乡镇卫生院专业技术人员特殊岗位奖励补贴</t>
  </si>
  <si>
    <t>重大传染病防控经费</t>
  </si>
  <si>
    <t>住院分娩补助、奖励待产生活补助</t>
  </si>
  <si>
    <t>精神病肇事补助</t>
  </si>
  <si>
    <t>2020年-2021年招聘义务人员县级配套</t>
  </si>
  <si>
    <t>后勤</t>
  </si>
  <si>
    <t>机关食堂厨师工资</t>
  </si>
  <si>
    <t>存量571450调整为存量</t>
  </si>
  <si>
    <t>周转房维修费</t>
  </si>
  <si>
    <t>昌财预指[2021]28号调整500000年初192673.18</t>
  </si>
  <si>
    <t>192673.18为存量</t>
  </si>
  <si>
    <t>昌财预指[2021]28号调整300000年初1990000</t>
  </si>
  <si>
    <t>机关食堂伙食补助</t>
  </si>
  <si>
    <t>丁青县统战部</t>
  </si>
  <si>
    <t>寺庙僧尼培训经费</t>
  </si>
  <si>
    <t>宗教人士岗位补贴</t>
  </si>
  <si>
    <t>统战人士（党外人士）</t>
  </si>
  <si>
    <t>统战人士（党外人士）一般</t>
  </si>
  <si>
    <t>宗教领域综合执法日常运行经费</t>
  </si>
  <si>
    <t>调整增收38配8万元、个人家庭补助2万元</t>
  </si>
  <si>
    <t>篮球队相关经费</t>
  </si>
  <si>
    <t>孜珠寺法会制证费</t>
  </si>
  <si>
    <t>寺庙“九有”工程</t>
  </si>
  <si>
    <t>昌财行指[2021]58号追加761500年初414700</t>
  </si>
  <si>
    <t>民宗局</t>
  </si>
  <si>
    <t>民族团结专项经费</t>
  </si>
  <si>
    <t>驻寺特殊岗位津贴</t>
  </si>
  <si>
    <t>驻寺特殊岗位津贴一般</t>
  </si>
  <si>
    <t>消防大队</t>
  </si>
  <si>
    <t>消防辅警经费（公用经费、工资、服装费、个人防护、五险一金、生活费）存量</t>
  </si>
  <si>
    <t>消防辅警经费（公用经费、工资、服装费、个人防护、五险一金、生活费）一般预算</t>
  </si>
  <si>
    <t>消防公用经费、灭火剂等消耗品、维修费等</t>
  </si>
  <si>
    <t>2020年消防器材采购</t>
  </si>
  <si>
    <t>文化局</t>
  </si>
  <si>
    <t>艺术团场次补贴</t>
  </si>
  <si>
    <t>艺术团场次补贴一般</t>
  </si>
  <si>
    <t>村居文艺演出队经费</t>
  </si>
  <si>
    <t>昌财预指[2021]17号136万元</t>
  </si>
  <si>
    <t>图书馆、县综合文化活动中心免费开放经费（图书馆、群艺馆、文化馆（站）等免费开放）</t>
  </si>
  <si>
    <t>图书馆、县综合文化活动中心免费开放经费（图书馆、群艺馆、文化馆（站）等免费开放）一般</t>
  </si>
  <si>
    <t>非物质文化遗产传承保护经费</t>
  </si>
  <si>
    <t>昌财预指[2021]28号调整23300
年初3081948.73</t>
  </si>
  <si>
    <t>按因素分配补助资金</t>
  </si>
  <si>
    <t>绩效奖励资金</t>
  </si>
  <si>
    <t>关于下达2021年度自治区非物质文化遗产保护专项资金的批复</t>
  </si>
  <si>
    <t>昌财综指[2021]44号</t>
  </si>
  <si>
    <t>关于下达各县区市级文物文化专项经费的批复</t>
  </si>
  <si>
    <t>昌财综指[2021]42号</t>
  </si>
  <si>
    <t>关于下达2021年文化人才专项资金预算指标的通知</t>
  </si>
  <si>
    <t>昌财综指[2021]53号</t>
  </si>
  <si>
    <t>关于下达2021年公共文化服务体系第二批建设补助资金的批复</t>
  </si>
  <si>
    <t>昌财综指[2021]54号</t>
  </si>
  <si>
    <t>重点文物保护单位野外看管人员经费</t>
  </si>
  <si>
    <t>2020“琼文化”学术研讨会经费</t>
  </si>
  <si>
    <t>少数民族文艺汇演经费</t>
  </si>
  <si>
    <t>市场监管局</t>
  </si>
  <si>
    <t>执法服装购置</t>
  </si>
  <si>
    <t>统计局</t>
  </si>
  <si>
    <t>审计局</t>
  </si>
  <si>
    <t>关于下达2021年中央对地方审计专项补助资金的批复</t>
  </si>
  <si>
    <t>昌财行指[2021]71号</t>
  </si>
  <si>
    <t>行政审批局</t>
  </si>
  <si>
    <t>昌财预指[2021]28号调整11180
年初725787.01</t>
  </si>
  <si>
    <t>编译局</t>
  </si>
  <si>
    <t>藏医院</t>
  </si>
  <si>
    <t>藏医药事业发展专项经费</t>
  </si>
  <si>
    <t>2021年临时工工资</t>
  </si>
  <si>
    <t>退役军人事务局</t>
  </si>
  <si>
    <t>自主择业退役士兵一次性生活补助和家庭优待金</t>
  </si>
  <si>
    <t>丁青县“八一”慰问经费</t>
  </si>
  <si>
    <t>昌财预指[2021]28号30780</t>
  </si>
  <si>
    <t>丁青县烈士陵园聘请临时工</t>
  </si>
  <si>
    <t>48100昌财预指[2021]32号分配
昌财预指[2021]28号3700</t>
  </si>
  <si>
    <t>退役军人及服务中心整体搬迁</t>
  </si>
  <si>
    <t>全国县级以下英雄烈士纪念设施整修工程中央财政补助直达资金</t>
  </si>
  <si>
    <t>昌财社指〔2021〕54号追加</t>
  </si>
  <si>
    <t>2021年优抚对象补助经费</t>
  </si>
  <si>
    <t xml:space="preserve">昌财社指〔2021〕62号追加410000
昌财社指〔2021〕40号
</t>
  </si>
  <si>
    <t>60岁以上农村籍退役士兵生活补助（优抚对象等人员抚恤和生活补助资金）</t>
  </si>
  <si>
    <t>优抚对象医疗补助</t>
  </si>
  <si>
    <t>医保局</t>
  </si>
  <si>
    <t>城乡居民医疗保险</t>
  </si>
  <si>
    <t>医疗救助</t>
  </si>
  <si>
    <t>城乡居民医疗救助一般</t>
  </si>
  <si>
    <t>昌财社指〔2021〕29号追加548万元
年初9970000</t>
  </si>
  <si>
    <t>2019年及以前年度城乡居民基本医疗保险基金缺口</t>
  </si>
  <si>
    <t>关于拨付昌都市2019年"两项基金"缺口资金补助的通知</t>
  </si>
  <si>
    <t>昌财社指[2021]13号
昌财社指[2021]56号</t>
  </si>
  <si>
    <t>执法局</t>
  </si>
  <si>
    <t>维修改造县城路灯经费</t>
  </si>
  <si>
    <t>市政运行经费</t>
  </si>
  <si>
    <t>市政运行经费一般预算</t>
  </si>
  <si>
    <t>丁青县城区生活垃圾填埋场运行经费</t>
  </si>
  <si>
    <t>临时工工资一般预算</t>
  </si>
  <si>
    <t>巡察办</t>
  </si>
  <si>
    <t>国安办</t>
  </si>
  <si>
    <t>应急管理局</t>
  </si>
  <si>
    <t>关于下达2021-2022年中央灾害救助资金预算指标的通知</t>
  </si>
  <si>
    <t>昌财农指[2021]86号</t>
  </si>
  <si>
    <t>关于下达2021年自然灾害防治体系建设补助资金预算（第一次全国自然灾害综合风险普查启动经费）的通知</t>
  </si>
  <si>
    <t>昌财农指[2021]72号</t>
  </si>
  <si>
    <t xml:space="preserve">关于下达昌都市第一次全国自然灾害综合风险普查工作县级配套资金的批复  </t>
  </si>
  <si>
    <t>昌财行指[2021]84号</t>
  </si>
  <si>
    <t>人武部</t>
  </si>
  <si>
    <t>后备力量建设经费</t>
  </si>
  <si>
    <t>140名基干民兵军事训练生活物资保障</t>
  </si>
  <si>
    <t>基层武装部民兵工作经费（乡镇各一万）</t>
  </si>
  <si>
    <t>关于下达各县区2018年7月-2021年8月调整机关事业人员西藏特殊津贴标准增资（预发）预算指标的通知工资性支出</t>
  </si>
  <si>
    <t>昌财综指[2021]39号
昌财综指[2021]47号</t>
  </si>
  <si>
    <t>关于下达2021年农业转移人口市民化奖励资金预算指标的通知工资性支出</t>
  </si>
  <si>
    <t>均衡转移工资性支出</t>
  </si>
  <si>
    <t xml:space="preserve">                                      </t>
  </si>
  <si>
    <t>总收入2005468312.5，总支出1769159651.4、各单位结余236509970.17</t>
  </si>
  <si>
    <t>基本支出缺口52977892.72</t>
  </si>
  <si>
    <t>转移支付收入72066167.9弥补缺口52977892.72</t>
  </si>
  <si>
    <t>预算总金额</t>
  </si>
  <si>
    <t>支出总数</t>
  </si>
  <si>
    <t>单位结余</t>
  </si>
  <si>
    <t>项目单笔结转</t>
  </si>
  <si>
    <t>昌财农指[2021]13号重复拨付100万元</t>
  </si>
  <si>
    <t>转移支付弥补</t>
  </si>
  <si>
    <t>昌财预指【2021】32号</t>
  </si>
  <si>
    <t>昌财农指[2021]52号调减</t>
  </si>
  <si>
    <t>年初调减</t>
  </si>
  <si>
    <t>调减14.0155万元</t>
  </si>
  <si>
    <t>上解支出</t>
  </si>
  <si>
    <t>调整个人对家庭生活补助</t>
  </si>
  <si>
    <t xml:space="preserve">   灾后重建资金入存量需调回</t>
    <phoneticPr fontId="14" type="noConversion"/>
  </si>
</sst>
</file>

<file path=xl/styles.xml><?xml version="1.0" encoding="utf-8"?>
<styleSheet xmlns="http://schemas.openxmlformats.org/spreadsheetml/2006/main">
  <numFmts count="3">
    <numFmt numFmtId="176" formatCode="0;[Red]0"/>
    <numFmt numFmtId="177" formatCode="0.00_ "/>
    <numFmt numFmtId="178" formatCode="#,##0_ "/>
  </numFmts>
  <fonts count="15">
    <font>
      <sz val="11"/>
      <color theme="1"/>
      <name val="宋体"/>
      <charset val="134"/>
      <scheme val="minor"/>
    </font>
    <font>
      <sz val="11"/>
      <name val="宋体"/>
      <charset val="134"/>
      <scheme val="minor"/>
    </font>
    <font>
      <b/>
      <sz val="22"/>
      <color theme="1"/>
      <name val="宋体"/>
      <charset val="134"/>
      <scheme val="minor"/>
    </font>
    <font>
      <b/>
      <sz val="12"/>
      <color theme="1"/>
      <name val="宋体"/>
      <charset val="134"/>
    </font>
    <font>
      <b/>
      <sz val="12"/>
      <name val="宋体"/>
      <charset val="134"/>
    </font>
    <font>
      <sz val="12"/>
      <name val="仿宋"/>
      <charset val="134"/>
    </font>
    <font>
      <b/>
      <sz val="22"/>
      <name val="宋体"/>
      <charset val="134"/>
      <scheme val="minor"/>
    </font>
    <font>
      <sz val="12"/>
      <color rgb="FFFF0000"/>
      <name val="仿宋"/>
      <charset val="134"/>
    </font>
    <font>
      <sz val="10"/>
      <color indexed="8"/>
      <name val="宋体"/>
      <charset val="134"/>
    </font>
    <font>
      <sz val="12"/>
      <name val="宋体"/>
      <charset val="134"/>
    </font>
    <font>
      <b/>
      <sz val="9"/>
      <name val="宋体"/>
      <charset val="134"/>
    </font>
    <font>
      <b/>
      <sz val="9"/>
      <name val="Tahoma"/>
      <family val="2"/>
    </font>
    <font>
      <sz val="9"/>
      <name val="Tahoma"/>
      <family val="2"/>
    </font>
    <font>
      <sz val="9"/>
      <name val="宋体"/>
      <charset val="134"/>
    </font>
    <font>
      <sz val="9"/>
      <name val="宋体"/>
      <charset val="134"/>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s>
  <cellStyleXfs count="5">
    <xf numFmtId="0" fontId="0" fillId="0" borderId="0">
      <alignment vertical="center"/>
    </xf>
    <xf numFmtId="0" fontId="8" fillId="0" borderId="0" applyProtection="0">
      <alignment vertical="center"/>
    </xf>
    <xf numFmtId="0" fontId="8" fillId="0" borderId="0" applyProtection="0">
      <alignment vertical="center"/>
    </xf>
    <xf numFmtId="0" fontId="9" fillId="0" borderId="0">
      <alignment vertical="center"/>
    </xf>
    <xf numFmtId="0" fontId="9" fillId="0" borderId="0" applyProtection="0"/>
  </cellStyleXfs>
  <cellXfs count="72">
    <xf numFmtId="0" fontId="0" fillId="0" borderId="0" xfId="0">
      <alignment vertical="center"/>
    </xf>
    <xf numFmtId="0" fontId="0" fillId="2" borderId="0" xfId="0" applyFill="1">
      <alignment vertical="center"/>
    </xf>
    <xf numFmtId="0" fontId="0" fillId="0" borderId="0" xfId="0" applyAlignment="1">
      <alignment vertical="center" wrapText="1"/>
    </xf>
    <xf numFmtId="177" fontId="1" fillId="0" borderId="0" xfId="0" applyNumberFormat="1" applyFont="1">
      <alignment vertical="center"/>
    </xf>
    <xf numFmtId="177" fontId="0" fillId="0" borderId="0" xfId="0" applyNumberFormat="1">
      <alignment vertical="center"/>
    </xf>
    <xf numFmtId="0" fontId="1" fillId="3" borderId="0" xfId="0" applyFont="1" applyFill="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77" fontId="4"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7" fontId="5" fillId="2"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5" fillId="4" borderId="1" xfId="0" applyNumberFormat="1" applyFont="1" applyFill="1" applyBorder="1" applyAlignment="1">
      <alignment horizontal="center" vertical="center"/>
    </xf>
    <xf numFmtId="177" fontId="5" fillId="4"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77"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77" fontId="5" fillId="0" borderId="2"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shrinkToFit="1"/>
    </xf>
    <xf numFmtId="177" fontId="5" fillId="0" borderId="1" xfId="0" applyNumberFormat="1" applyFont="1" applyFill="1" applyBorder="1" applyAlignment="1">
      <alignment horizontal="center" vertical="center" wrapText="1" shrinkToFit="1"/>
    </xf>
    <xf numFmtId="0" fontId="5" fillId="0"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shrinkToFit="1"/>
    </xf>
    <xf numFmtId="0" fontId="5" fillId="0" borderId="1" xfId="0" applyNumberFormat="1" applyFont="1" applyFill="1" applyBorder="1" applyAlignment="1">
      <alignment horizontal="center" vertical="center" wrapText="1" shrinkToFit="1"/>
    </xf>
    <xf numFmtId="49"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49" fontId="5" fillId="0" borderId="1" xfId="0" applyNumberFormat="1" applyFont="1" applyFill="1" applyBorder="1" applyAlignment="1">
      <alignment horizontal="left" vertical="center" wrapText="1" shrinkToFit="1"/>
    </xf>
    <xf numFmtId="0" fontId="5" fillId="0" borderId="1" xfId="0" applyFont="1" applyFill="1" applyBorder="1" applyAlignment="1">
      <alignment horizontal="center" vertical="center" wrapText="1" shrinkToFit="1"/>
    </xf>
    <xf numFmtId="49" fontId="5" fillId="0" borderId="1" xfId="2" applyNumberFormat="1" applyFont="1" applyFill="1" applyBorder="1" applyAlignment="1">
      <alignment horizontal="center" vertical="center" wrapText="1" shrinkToFit="1"/>
    </xf>
    <xf numFmtId="176" fontId="5" fillId="3" borderId="1" xfId="0" applyNumberFormat="1" applyFont="1" applyFill="1" applyBorder="1" applyAlignment="1">
      <alignment horizontal="center" vertical="center" wrapText="1" shrinkToFit="1"/>
    </xf>
    <xf numFmtId="0" fontId="5" fillId="3" borderId="1" xfId="0" applyFont="1" applyFill="1" applyBorder="1" applyAlignment="1">
      <alignment horizontal="center" vertical="center" wrapText="1" shrinkToFit="1"/>
    </xf>
    <xf numFmtId="0" fontId="5" fillId="3"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0" fontId="5" fillId="0" borderId="1" xfId="1" applyNumberFormat="1" applyFont="1" applyFill="1" applyBorder="1" applyAlignment="1">
      <alignment horizontal="center" vertical="center" wrapText="1" shrinkToFit="1"/>
    </xf>
    <xf numFmtId="49" fontId="5" fillId="3" borderId="5" xfId="0" applyNumberFormat="1" applyFont="1" applyFill="1" applyBorder="1" applyAlignment="1">
      <alignment horizontal="center" vertical="center" wrapText="1" shrinkToFit="1"/>
    </xf>
    <xf numFmtId="176" fontId="5" fillId="0" borderId="1" xfId="0" applyNumberFormat="1" applyFont="1" applyFill="1" applyBorder="1" applyAlignment="1">
      <alignment horizontal="center" vertical="center" wrapText="1" shrinkToFit="1"/>
    </xf>
    <xf numFmtId="49" fontId="5" fillId="0" borderId="1" xfId="3"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8" fontId="5" fillId="0" borderId="1" xfId="4"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177" fontId="0" fillId="0" borderId="1" xfId="0" applyNumberFormat="1" applyBorder="1">
      <alignment vertical="center"/>
    </xf>
    <xf numFmtId="0" fontId="0" fillId="0" borderId="1" xfId="0" applyBorder="1">
      <alignment vertical="center"/>
    </xf>
    <xf numFmtId="0" fontId="0" fillId="0" borderId="1" xfId="0" applyBorder="1" applyAlignment="1">
      <alignment vertical="center" wrapText="1"/>
    </xf>
    <xf numFmtId="177" fontId="1" fillId="0" borderId="1" xfId="0" applyNumberFormat="1" applyFont="1" applyBorder="1">
      <alignment vertical="center"/>
    </xf>
    <xf numFmtId="49" fontId="5" fillId="3" borderId="2" xfId="0" applyNumberFormat="1" applyFont="1" applyFill="1" applyBorder="1" applyAlignment="1">
      <alignment horizontal="center" vertical="center" wrapText="1" shrinkToFit="1"/>
    </xf>
    <xf numFmtId="0" fontId="1" fillId="3" borderId="1" xfId="0" applyFont="1" applyFill="1" applyBorder="1" applyAlignment="1">
      <alignment vertical="center" wrapText="1"/>
    </xf>
    <xf numFmtId="0" fontId="0" fillId="3" borderId="0" xfId="0" applyFill="1" applyAlignment="1">
      <alignment vertical="center" wrapText="1"/>
    </xf>
    <xf numFmtId="0" fontId="5"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shrinkToFit="1"/>
    </xf>
    <xf numFmtId="177" fontId="5" fillId="0" borderId="1"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0" fillId="0" borderId="1" xfId="0" applyNumberFormat="1" applyBorder="1" applyAlignment="1">
      <alignment horizontal="center" vertical="center"/>
    </xf>
    <xf numFmtId="177" fontId="0" fillId="0" borderId="1" xfId="0" applyNumberFormat="1" applyBorder="1">
      <alignment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wrapText="1"/>
    </xf>
    <xf numFmtId="177" fontId="5" fillId="2"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7" fillId="2" borderId="1"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177" fontId="2" fillId="0" borderId="0" xfId="0" applyNumberFormat="1" applyFont="1" applyAlignment="1">
      <alignment horizontal="center" vertical="center"/>
    </xf>
    <xf numFmtId="0" fontId="6" fillId="0" borderId="0" xfId="0" applyFont="1" applyAlignment="1">
      <alignment horizontal="center" vertical="center" wrapText="1"/>
    </xf>
  </cellXfs>
  <cellStyles count="5">
    <cellStyle name="常规" xfId="0" builtinId="0"/>
    <cellStyle name="常规 2" xfId="3"/>
    <cellStyle name="常规_Sheet1_1" xfId="4"/>
    <cellStyle name="常规_自治区指标下达情况_11" xfId="1"/>
    <cellStyle name="常规_自治区指标下达情况_5" xfId="2"/>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I591"/>
  <sheetViews>
    <sheetView tabSelected="1" workbookViewId="0">
      <pane xSplit="2" ySplit="4" topLeftCell="C132" activePane="bottomRight" state="frozen"/>
      <selection pane="topRight"/>
      <selection pane="bottomLeft"/>
      <selection pane="bottomRight" activeCell="B493" sqref="B493"/>
    </sheetView>
  </sheetViews>
  <sheetFormatPr defaultColWidth="22.5" defaultRowHeight="13.5"/>
  <cols>
    <col min="1" max="1" width="14.25" customWidth="1"/>
    <col min="2" max="2" width="23.875" style="2" customWidth="1"/>
    <col min="3" max="3" width="19.625" style="3" customWidth="1"/>
    <col min="4" max="4" width="30.75" style="4" customWidth="1"/>
    <col min="5" max="5" width="25.875" style="4" customWidth="1"/>
    <col min="6" max="6" width="17.25" style="4" customWidth="1"/>
    <col min="7" max="7" width="17" style="4" customWidth="1"/>
    <col min="8" max="8" width="18.375" style="4" customWidth="1"/>
    <col min="9" max="9" width="30.375" style="5" customWidth="1"/>
    <col min="10" max="16347" width="22.5" customWidth="1"/>
  </cols>
  <sheetData>
    <row r="1" spans="1:9" ht="27">
      <c r="A1" s="68" t="s">
        <v>0</v>
      </c>
      <c r="B1" s="69"/>
      <c r="C1" s="70"/>
      <c r="D1" s="70"/>
      <c r="E1" s="70"/>
      <c r="F1" s="70"/>
      <c r="G1" s="70"/>
      <c r="H1" s="70"/>
      <c r="I1" s="71"/>
    </row>
    <row r="2" spans="1:9" ht="14.25">
      <c r="A2" s="6" t="s">
        <v>1</v>
      </c>
      <c r="B2" s="7" t="s">
        <v>2</v>
      </c>
      <c r="C2" s="8" t="s">
        <v>3</v>
      </c>
      <c r="D2" s="9" t="s">
        <v>596</v>
      </c>
      <c r="E2" s="9" t="s">
        <v>4</v>
      </c>
      <c r="F2" s="9" t="s">
        <v>597</v>
      </c>
      <c r="G2" s="9" t="s">
        <v>598</v>
      </c>
      <c r="H2" s="9" t="s">
        <v>599</v>
      </c>
      <c r="I2" s="16" t="s">
        <v>5</v>
      </c>
    </row>
    <row r="3" spans="1:9" ht="14.25">
      <c r="A3" s="61" t="s">
        <v>6</v>
      </c>
      <c r="B3" s="11" t="s">
        <v>7</v>
      </c>
      <c r="C3" s="12">
        <v>224721.6</v>
      </c>
      <c r="D3" s="55">
        <f>SUBTOTAL(9,C5:C10)</f>
        <v>18894318.850000001</v>
      </c>
      <c r="E3" s="13">
        <f>47135.2+176070.6</f>
        <v>223205.8</v>
      </c>
      <c r="F3" s="55">
        <f>SUBTOTAL(9,E5:E10)</f>
        <v>18170581.949999999</v>
      </c>
      <c r="G3" s="55">
        <f>D3-F3</f>
        <v>723736.90000000224</v>
      </c>
      <c r="H3" s="13">
        <f t="shared" ref="H3:H66" si="0">C3-E3</f>
        <v>1515.8000000000175</v>
      </c>
      <c r="I3" s="17" t="s">
        <v>8</v>
      </c>
    </row>
    <row r="4" spans="1:9" ht="14.25">
      <c r="A4" s="61"/>
      <c r="B4" s="11" t="s">
        <v>9</v>
      </c>
      <c r="C4" s="12">
        <v>53400</v>
      </c>
      <c r="D4" s="55"/>
      <c r="E4" s="13">
        <f>SUM(I4:I4)</f>
        <v>0</v>
      </c>
      <c r="F4" s="55"/>
      <c r="G4" s="55"/>
      <c r="H4" s="13">
        <f t="shared" si="0"/>
        <v>53400</v>
      </c>
      <c r="I4" s="17" t="s">
        <v>10</v>
      </c>
    </row>
    <row r="5" spans="1:9" ht="14.25">
      <c r="A5" s="61"/>
      <c r="B5" s="11" t="s">
        <v>11</v>
      </c>
      <c r="C5" s="13">
        <v>200000</v>
      </c>
      <c r="D5" s="65"/>
      <c r="E5" s="13">
        <v>200000</v>
      </c>
      <c r="F5" s="55"/>
      <c r="G5" s="55"/>
      <c r="H5" s="13">
        <f t="shared" si="0"/>
        <v>0</v>
      </c>
      <c r="I5" s="18" t="s">
        <v>12</v>
      </c>
    </row>
    <row r="6" spans="1:9" ht="28.5">
      <c r="A6" s="61"/>
      <c r="B6" s="11" t="s">
        <v>13</v>
      </c>
      <c r="C6" s="13">
        <f>5390+16005584.85</f>
        <v>16010974.85</v>
      </c>
      <c r="D6" s="65"/>
      <c r="E6" s="13">
        <v>15577427.949999999</v>
      </c>
      <c r="F6" s="55"/>
      <c r="G6" s="55"/>
      <c r="H6" s="13">
        <f t="shared" si="0"/>
        <v>433546.90000000037</v>
      </c>
      <c r="I6" s="17" t="s">
        <v>14</v>
      </c>
    </row>
    <row r="7" spans="1:9" ht="14.25">
      <c r="A7" s="61"/>
      <c r="B7" s="11" t="s">
        <v>15</v>
      </c>
      <c r="C7" s="13">
        <v>198000</v>
      </c>
      <c r="D7" s="65"/>
      <c r="E7" s="13">
        <v>79100</v>
      </c>
      <c r="F7" s="55"/>
      <c r="G7" s="55"/>
      <c r="H7" s="13">
        <f t="shared" si="0"/>
        <v>118900</v>
      </c>
      <c r="I7" s="18" t="s">
        <v>12</v>
      </c>
    </row>
    <row r="8" spans="1:9" ht="28.5">
      <c r="A8" s="61"/>
      <c r="B8" s="11" t="s">
        <v>16</v>
      </c>
      <c r="C8" s="14">
        <v>171290</v>
      </c>
      <c r="D8" s="55"/>
      <c r="E8" s="13"/>
      <c r="F8" s="55"/>
      <c r="G8" s="55"/>
      <c r="H8" s="13">
        <f t="shared" si="0"/>
        <v>171290</v>
      </c>
      <c r="I8" s="17" t="s">
        <v>17</v>
      </c>
    </row>
    <row r="9" spans="1:9" ht="14.25">
      <c r="A9" s="61"/>
      <c r="B9" s="11" t="s">
        <v>18</v>
      </c>
      <c r="C9" s="13">
        <v>2193454</v>
      </c>
      <c r="D9" s="65"/>
      <c r="E9" s="13">
        <v>2193454</v>
      </c>
      <c r="F9" s="55"/>
      <c r="G9" s="55"/>
      <c r="H9" s="13">
        <f t="shared" si="0"/>
        <v>0</v>
      </c>
      <c r="I9" s="18" t="s">
        <v>12</v>
      </c>
    </row>
    <row r="10" spans="1:9" ht="14.25">
      <c r="A10" s="61"/>
      <c r="B10" s="11" t="s">
        <v>19</v>
      </c>
      <c r="C10" s="13">
        <v>120600</v>
      </c>
      <c r="D10" s="65"/>
      <c r="E10" s="13">
        <v>120600</v>
      </c>
      <c r="F10" s="55"/>
      <c r="G10" s="55"/>
      <c r="H10" s="13">
        <f t="shared" si="0"/>
        <v>0</v>
      </c>
      <c r="I10" s="18" t="s">
        <v>12</v>
      </c>
    </row>
    <row r="11" spans="1:9" ht="14.25">
      <c r="A11" s="61" t="s">
        <v>20</v>
      </c>
      <c r="B11" s="11" t="s">
        <v>9</v>
      </c>
      <c r="C11" s="12">
        <v>10560</v>
      </c>
      <c r="D11" s="55">
        <f>SUBTOTAL(9,C12:C18)</f>
        <v>19008008.359999999</v>
      </c>
      <c r="E11" s="13">
        <f>SUM(I11:I11)</f>
        <v>0</v>
      </c>
      <c r="F11" s="55">
        <f>SUBTOTAL(9,E12:E18)</f>
        <v>18596092.009999998</v>
      </c>
      <c r="G11" s="55">
        <f>D11-F11</f>
        <v>411916.35000000149</v>
      </c>
      <c r="H11" s="13">
        <f t="shared" si="0"/>
        <v>10560</v>
      </c>
      <c r="I11" s="17" t="s">
        <v>10</v>
      </c>
    </row>
    <row r="12" spans="1:9" ht="14.25">
      <c r="A12" s="61"/>
      <c r="B12" s="11" t="s">
        <v>15</v>
      </c>
      <c r="C12" s="13">
        <f>205200-90370</f>
        <v>114830</v>
      </c>
      <c r="D12" s="65"/>
      <c r="E12" s="13">
        <v>114470</v>
      </c>
      <c r="F12" s="55"/>
      <c r="G12" s="55"/>
      <c r="H12" s="13">
        <f t="shared" si="0"/>
        <v>360</v>
      </c>
      <c r="I12" s="17" t="s">
        <v>21</v>
      </c>
    </row>
    <row r="13" spans="1:9" ht="17.25" customHeight="1">
      <c r="A13" s="61"/>
      <c r="B13" s="11" t="s">
        <v>22</v>
      </c>
      <c r="C13" s="14">
        <v>240000</v>
      </c>
      <c r="D13" s="55"/>
      <c r="E13" s="13">
        <v>240000</v>
      </c>
      <c r="F13" s="55"/>
      <c r="G13" s="55"/>
      <c r="H13" s="13">
        <f t="shared" si="0"/>
        <v>0</v>
      </c>
      <c r="I13" s="17" t="s">
        <v>10</v>
      </c>
    </row>
    <row r="14" spans="1:9" ht="14.25">
      <c r="A14" s="61"/>
      <c r="B14" s="11" t="s">
        <v>23</v>
      </c>
      <c r="C14" s="14">
        <v>80000</v>
      </c>
      <c r="D14" s="55"/>
      <c r="E14" s="13">
        <v>80000</v>
      </c>
      <c r="F14" s="55"/>
      <c r="G14" s="55"/>
      <c r="H14" s="13">
        <f t="shared" si="0"/>
        <v>0</v>
      </c>
      <c r="I14" s="17" t="s">
        <v>10</v>
      </c>
    </row>
    <row r="15" spans="1:9" ht="17.25" customHeight="1">
      <c r="A15" s="61"/>
      <c r="B15" s="11" t="s">
        <v>24</v>
      </c>
      <c r="C15" s="13">
        <v>1000000</v>
      </c>
      <c r="D15" s="65"/>
      <c r="E15" s="13">
        <v>1000000</v>
      </c>
      <c r="F15" s="55"/>
      <c r="G15" s="55"/>
      <c r="H15" s="13">
        <f t="shared" si="0"/>
        <v>0</v>
      </c>
      <c r="I15" s="17" t="s">
        <v>25</v>
      </c>
    </row>
    <row r="16" spans="1:9" ht="56.1" customHeight="1">
      <c r="A16" s="61"/>
      <c r="B16" s="11" t="s">
        <v>13</v>
      </c>
      <c r="C16" s="13">
        <f>15316672.36+3680</f>
        <v>15320352.359999999</v>
      </c>
      <c r="D16" s="65"/>
      <c r="E16" s="13">
        <v>14908804.01</v>
      </c>
      <c r="F16" s="55"/>
      <c r="G16" s="55"/>
      <c r="H16" s="13">
        <f t="shared" si="0"/>
        <v>411548.34999999963</v>
      </c>
      <c r="I16" s="17" t="s">
        <v>26</v>
      </c>
    </row>
    <row r="17" spans="1:9" ht="14.25">
      <c r="A17" s="61"/>
      <c r="B17" s="11" t="s">
        <v>18</v>
      </c>
      <c r="C17" s="13">
        <v>2052826</v>
      </c>
      <c r="D17" s="65"/>
      <c r="E17" s="13">
        <v>2052818</v>
      </c>
      <c r="F17" s="55"/>
      <c r="G17" s="55"/>
      <c r="H17" s="13">
        <f t="shared" si="0"/>
        <v>8</v>
      </c>
      <c r="I17" s="18" t="s">
        <v>12</v>
      </c>
    </row>
    <row r="18" spans="1:9" ht="14.25">
      <c r="A18" s="61"/>
      <c r="B18" s="11" t="s">
        <v>11</v>
      </c>
      <c r="C18" s="13">
        <v>200000</v>
      </c>
      <c r="D18" s="65"/>
      <c r="E18" s="13">
        <v>200000</v>
      </c>
      <c r="F18" s="55"/>
      <c r="G18" s="55"/>
      <c r="H18" s="13">
        <f t="shared" si="0"/>
        <v>0</v>
      </c>
      <c r="I18" s="18" t="s">
        <v>12</v>
      </c>
    </row>
    <row r="19" spans="1:9" ht="14.25">
      <c r="A19" s="61"/>
      <c r="B19" s="11" t="s">
        <v>7</v>
      </c>
      <c r="C19" s="12">
        <v>263071.2</v>
      </c>
      <c r="D19" s="55"/>
      <c r="E19" s="13">
        <f>45167+8250+122013.2</f>
        <v>175430.2</v>
      </c>
      <c r="F19" s="55"/>
      <c r="G19" s="55"/>
      <c r="H19" s="13">
        <f t="shared" si="0"/>
        <v>87641</v>
      </c>
      <c r="I19" s="17" t="s">
        <v>27</v>
      </c>
    </row>
    <row r="20" spans="1:9" ht="14.25">
      <c r="A20" s="61" t="s">
        <v>28</v>
      </c>
      <c r="B20" s="11" t="s">
        <v>11</v>
      </c>
      <c r="C20" s="13">
        <v>200000</v>
      </c>
      <c r="D20" s="65">
        <f>SUBTOTAL(9,C20:C25)</f>
        <v>16681357.890000001</v>
      </c>
      <c r="E20" s="13">
        <v>200000</v>
      </c>
      <c r="F20" s="55">
        <f>SUBTOTAL(9,E20:E25)</f>
        <v>15052198.33</v>
      </c>
      <c r="G20" s="55">
        <f>D20-F20</f>
        <v>1629159.5600000005</v>
      </c>
      <c r="H20" s="13">
        <f t="shared" si="0"/>
        <v>0</v>
      </c>
      <c r="I20" s="18" t="s">
        <v>12</v>
      </c>
    </row>
    <row r="21" spans="1:9" ht="14.25">
      <c r="A21" s="61"/>
      <c r="B21" s="11" t="s">
        <v>9</v>
      </c>
      <c r="C21" s="13">
        <v>14868</v>
      </c>
      <c r="D21" s="65"/>
      <c r="E21" s="13"/>
      <c r="F21" s="55"/>
      <c r="G21" s="55"/>
      <c r="H21" s="13">
        <f t="shared" si="0"/>
        <v>14868</v>
      </c>
      <c r="I21" s="18" t="s">
        <v>12</v>
      </c>
    </row>
    <row r="22" spans="1:9" ht="14.25">
      <c r="A22" s="61"/>
      <c r="B22" s="11" t="s">
        <v>15</v>
      </c>
      <c r="C22" s="13">
        <v>176400</v>
      </c>
      <c r="D22" s="65"/>
      <c r="E22" s="13">
        <v>90120</v>
      </c>
      <c r="F22" s="55"/>
      <c r="G22" s="55"/>
      <c r="H22" s="13">
        <f t="shared" si="0"/>
        <v>86280</v>
      </c>
      <c r="I22" s="18" t="s">
        <v>12</v>
      </c>
    </row>
    <row r="23" spans="1:9" ht="28.5">
      <c r="A23" s="61"/>
      <c r="B23" s="11" t="s">
        <v>13</v>
      </c>
      <c r="C23" s="13">
        <f>14001077.89+2680</f>
        <v>14003757.890000001</v>
      </c>
      <c r="D23" s="65"/>
      <c r="E23" s="13">
        <v>12944103.33</v>
      </c>
      <c r="F23" s="55"/>
      <c r="G23" s="55"/>
      <c r="H23" s="13">
        <f t="shared" si="0"/>
        <v>1059654.5600000005</v>
      </c>
      <c r="I23" s="17" t="s">
        <v>29</v>
      </c>
    </row>
    <row r="24" spans="1:9" ht="28.5">
      <c r="A24" s="61"/>
      <c r="B24" s="11" t="s">
        <v>30</v>
      </c>
      <c r="C24" s="15">
        <v>468349</v>
      </c>
      <c r="D24" s="55"/>
      <c r="E24" s="13"/>
      <c r="F24" s="55"/>
      <c r="G24" s="55"/>
      <c r="H24" s="13">
        <f t="shared" si="0"/>
        <v>468349</v>
      </c>
      <c r="I24" s="17" t="s">
        <v>10</v>
      </c>
    </row>
    <row r="25" spans="1:9" ht="14.25">
      <c r="A25" s="61"/>
      <c r="B25" s="11" t="s">
        <v>18</v>
      </c>
      <c r="C25" s="13">
        <v>1817983</v>
      </c>
      <c r="D25" s="65"/>
      <c r="E25" s="13">
        <v>1817975</v>
      </c>
      <c r="F25" s="55"/>
      <c r="G25" s="55"/>
      <c r="H25" s="13">
        <f t="shared" si="0"/>
        <v>8</v>
      </c>
      <c r="I25" s="18" t="s">
        <v>12</v>
      </c>
    </row>
    <row r="26" spans="1:9" ht="14.25">
      <c r="A26" s="61"/>
      <c r="B26" s="11" t="s">
        <v>7</v>
      </c>
      <c r="C26" s="12">
        <v>58700.4</v>
      </c>
      <c r="D26" s="55"/>
      <c r="E26" s="13">
        <v>29350.2</v>
      </c>
      <c r="F26" s="55"/>
      <c r="G26" s="55"/>
      <c r="H26" s="13">
        <f t="shared" si="0"/>
        <v>29350.2</v>
      </c>
      <c r="I26" s="17" t="s">
        <v>10</v>
      </c>
    </row>
    <row r="27" spans="1:9" ht="14.25">
      <c r="A27" s="61" t="s">
        <v>31</v>
      </c>
      <c r="B27" s="11" t="s">
        <v>11</v>
      </c>
      <c r="C27" s="13">
        <v>200000</v>
      </c>
      <c r="D27" s="65">
        <f>SUBTOTAL(9,C27:C31)</f>
        <v>10902965.15</v>
      </c>
      <c r="E27" s="13">
        <v>200000</v>
      </c>
      <c r="F27" s="55">
        <f>SUBTOTAL(9,E27:E31)</f>
        <v>12092972.41</v>
      </c>
      <c r="G27" s="55">
        <f>D27-F27</f>
        <v>-1190007.2599999998</v>
      </c>
      <c r="H27" s="13">
        <f t="shared" si="0"/>
        <v>0</v>
      </c>
      <c r="I27" s="18" t="s">
        <v>12</v>
      </c>
    </row>
    <row r="28" spans="1:9" ht="14.25">
      <c r="A28" s="61"/>
      <c r="B28" s="11" t="s">
        <v>13</v>
      </c>
      <c r="C28" s="13">
        <v>9305685.1500000004</v>
      </c>
      <c r="D28" s="65"/>
      <c r="E28" s="13">
        <f>10567284.41</f>
        <v>10567284.41</v>
      </c>
      <c r="F28" s="55"/>
      <c r="G28" s="55"/>
      <c r="H28" s="13">
        <f t="shared" si="0"/>
        <v>-1261599.2599999998</v>
      </c>
      <c r="I28" s="18" t="s">
        <v>12</v>
      </c>
    </row>
    <row r="29" spans="1:9" ht="14.25">
      <c r="A29" s="61"/>
      <c r="B29" s="11" t="s">
        <v>15</v>
      </c>
      <c r="C29" s="13">
        <v>144000</v>
      </c>
      <c r="D29" s="65"/>
      <c r="E29" s="13">
        <v>72410</v>
      </c>
      <c r="F29" s="55"/>
      <c r="G29" s="55"/>
      <c r="H29" s="13">
        <f t="shared" si="0"/>
        <v>71590</v>
      </c>
      <c r="I29" s="18" t="s">
        <v>12</v>
      </c>
    </row>
    <row r="30" spans="1:9" ht="28.5">
      <c r="A30" s="61"/>
      <c r="B30" s="11" t="s">
        <v>32</v>
      </c>
      <c r="C30" s="13">
        <v>22338</v>
      </c>
      <c r="D30" s="65"/>
      <c r="E30" s="13">
        <v>22338</v>
      </c>
      <c r="F30" s="55"/>
      <c r="G30" s="55"/>
      <c r="H30" s="13">
        <f t="shared" si="0"/>
        <v>0</v>
      </c>
      <c r="I30" s="17" t="s">
        <v>25</v>
      </c>
    </row>
    <row r="31" spans="1:9" ht="14.25">
      <c r="A31" s="61"/>
      <c r="B31" s="11" t="s">
        <v>18</v>
      </c>
      <c r="C31" s="13">
        <v>1230942</v>
      </c>
      <c r="D31" s="65"/>
      <c r="E31" s="13">
        <v>1230940</v>
      </c>
      <c r="F31" s="55"/>
      <c r="G31" s="55"/>
      <c r="H31" s="13">
        <f t="shared" si="0"/>
        <v>2</v>
      </c>
      <c r="I31" s="18" t="s">
        <v>12</v>
      </c>
    </row>
    <row r="32" spans="1:9" ht="14.25">
      <c r="A32" s="61"/>
      <c r="B32" s="11" t="s">
        <v>7</v>
      </c>
      <c r="C32" s="12">
        <v>173157.6</v>
      </c>
      <c r="D32" s="55"/>
      <c r="E32" s="13">
        <f>86578.8+86578.8</f>
        <v>173157.6</v>
      </c>
      <c r="F32" s="55"/>
      <c r="G32" s="55"/>
      <c r="H32" s="13">
        <f t="shared" si="0"/>
        <v>0</v>
      </c>
      <c r="I32" s="17" t="s">
        <v>10</v>
      </c>
    </row>
    <row r="33" spans="1:9" ht="14.25">
      <c r="A33" s="61" t="s">
        <v>33</v>
      </c>
      <c r="B33" s="11" t="s">
        <v>9</v>
      </c>
      <c r="C33" s="12">
        <v>80743.199999999997</v>
      </c>
      <c r="D33" s="55">
        <f>SUBTOTAL(9,C34:C37)</f>
        <v>12168996.67</v>
      </c>
      <c r="E33" s="13">
        <v>80743</v>
      </c>
      <c r="F33" s="55">
        <f>SUBTOTAL(9,E34:E37)</f>
        <v>12734285.619999999</v>
      </c>
      <c r="G33" s="55">
        <f>D33-F33</f>
        <v>-565288.94999999925</v>
      </c>
      <c r="H33" s="13">
        <f t="shared" si="0"/>
        <v>0.19999999999708962</v>
      </c>
      <c r="I33" s="17" t="s">
        <v>10</v>
      </c>
    </row>
    <row r="34" spans="1:9" ht="14.25">
      <c r="A34" s="61"/>
      <c r="B34" s="11" t="s">
        <v>13</v>
      </c>
      <c r="C34" s="13">
        <v>10465740.67</v>
      </c>
      <c r="D34" s="65"/>
      <c r="E34" s="13">
        <v>11146281.619999999</v>
      </c>
      <c r="F34" s="55"/>
      <c r="G34" s="55"/>
      <c r="H34" s="13">
        <f t="shared" si="0"/>
        <v>-680540.94999999925</v>
      </c>
      <c r="I34" s="18" t="s">
        <v>12</v>
      </c>
    </row>
    <row r="35" spans="1:9" ht="14.25">
      <c r="A35" s="61"/>
      <c r="B35" s="11" t="s">
        <v>15</v>
      </c>
      <c r="C35" s="13">
        <v>162000</v>
      </c>
      <c r="D35" s="65"/>
      <c r="E35" s="13">
        <v>46750</v>
      </c>
      <c r="F35" s="55"/>
      <c r="G35" s="55"/>
      <c r="H35" s="13">
        <f t="shared" si="0"/>
        <v>115250</v>
      </c>
      <c r="I35" s="18" t="s">
        <v>12</v>
      </c>
    </row>
    <row r="36" spans="1:9" ht="14.25">
      <c r="A36" s="61"/>
      <c r="B36" s="11" t="s">
        <v>18</v>
      </c>
      <c r="C36" s="13">
        <v>1341256</v>
      </c>
      <c r="D36" s="65"/>
      <c r="E36" s="13">
        <v>1341254</v>
      </c>
      <c r="F36" s="55"/>
      <c r="G36" s="55"/>
      <c r="H36" s="13">
        <f t="shared" si="0"/>
        <v>2</v>
      </c>
      <c r="I36" s="18" t="s">
        <v>12</v>
      </c>
    </row>
    <row r="37" spans="1:9" ht="14.25">
      <c r="A37" s="61"/>
      <c r="B37" s="11" t="s">
        <v>11</v>
      </c>
      <c r="C37" s="13">
        <v>200000</v>
      </c>
      <c r="D37" s="65"/>
      <c r="E37" s="13">
        <v>200000</v>
      </c>
      <c r="F37" s="55"/>
      <c r="G37" s="55"/>
      <c r="H37" s="13">
        <f t="shared" si="0"/>
        <v>0</v>
      </c>
      <c r="I37" s="18" t="s">
        <v>12</v>
      </c>
    </row>
    <row r="38" spans="1:9" ht="28.5">
      <c r="A38" s="61"/>
      <c r="B38" s="11" t="s">
        <v>34</v>
      </c>
      <c r="C38" s="14">
        <v>506000</v>
      </c>
      <c r="D38" s="55"/>
      <c r="E38" s="13"/>
      <c r="F38" s="55"/>
      <c r="G38" s="55"/>
      <c r="H38" s="13">
        <f t="shared" si="0"/>
        <v>506000</v>
      </c>
      <c r="I38" s="17" t="s">
        <v>10</v>
      </c>
    </row>
    <row r="39" spans="1:9" ht="14.25">
      <c r="A39" s="61"/>
      <c r="B39" s="11" t="s">
        <v>7</v>
      </c>
      <c r="C39" s="12">
        <v>7440</v>
      </c>
      <c r="D39" s="55"/>
      <c r="E39" s="13">
        <v>7440</v>
      </c>
      <c r="F39" s="55"/>
      <c r="G39" s="55"/>
      <c r="H39" s="13">
        <f t="shared" si="0"/>
        <v>0</v>
      </c>
      <c r="I39" s="17" t="s">
        <v>10</v>
      </c>
    </row>
    <row r="40" spans="1:9" ht="14.25">
      <c r="A40" s="61" t="s">
        <v>35</v>
      </c>
      <c r="B40" s="11" t="s">
        <v>11</v>
      </c>
      <c r="C40" s="13">
        <v>200000</v>
      </c>
      <c r="D40" s="65">
        <f>SUBTOTAL(9,C40:C43)</f>
        <v>13907744.23</v>
      </c>
      <c r="E40" s="13">
        <v>200000</v>
      </c>
      <c r="F40" s="55">
        <f>SUBTOTAL(9,E40:E43)</f>
        <v>12283666.810000001</v>
      </c>
      <c r="G40" s="55">
        <f>D40-F40</f>
        <v>1624077.42</v>
      </c>
      <c r="H40" s="13">
        <f t="shared" si="0"/>
        <v>0</v>
      </c>
      <c r="I40" s="18" t="s">
        <v>12</v>
      </c>
    </row>
    <row r="41" spans="1:9" ht="18.95" customHeight="1">
      <c r="A41" s="61"/>
      <c r="B41" s="11" t="s">
        <v>13</v>
      </c>
      <c r="C41" s="13">
        <v>11930647.23</v>
      </c>
      <c r="D41" s="65"/>
      <c r="E41" s="13">
        <v>10360845.810000001</v>
      </c>
      <c r="F41" s="55"/>
      <c r="G41" s="55"/>
      <c r="H41" s="13">
        <f t="shared" si="0"/>
        <v>1569801.42</v>
      </c>
      <c r="I41" s="18" t="s">
        <v>12</v>
      </c>
    </row>
    <row r="42" spans="1:9" ht="18.95" customHeight="1">
      <c r="A42" s="61"/>
      <c r="B42" s="11" t="s">
        <v>15</v>
      </c>
      <c r="C42" s="13">
        <v>118800</v>
      </c>
      <c r="D42" s="65"/>
      <c r="E42" s="13">
        <v>64530</v>
      </c>
      <c r="F42" s="55"/>
      <c r="G42" s="55"/>
      <c r="H42" s="13">
        <f t="shared" si="0"/>
        <v>54270</v>
      </c>
      <c r="I42" s="18" t="s">
        <v>12</v>
      </c>
    </row>
    <row r="43" spans="1:9" ht="14.25">
      <c r="A43" s="61"/>
      <c r="B43" s="11" t="s">
        <v>18</v>
      </c>
      <c r="C43" s="13">
        <v>1658297</v>
      </c>
      <c r="D43" s="65"/>
      <c r="E43" s="13">
        <v>1658291</v>
      </c>
      <c r="F43" s="55"/>
      <c r="G43" s="55"/>
      <c r="H43" s="13">
        <f t="shared" si="0"/>
        <v>6</v>
      </c>
      <c r="I43" s="18" t="s">
        <v>12</v>
      </c>
    </row>
    <row r="44" spans="1:9" ht="14.25">
      <c r="A44" s="61"/>
      <c r="B44" s="11" t="s">
        <v>7</v>
      </c>
      <c r="C44" s="12">
        <v>39247.199999999997</v>
      </c>
      <c r="D44" s="55"/>
      <c r="E44" s="13">
        <v>39247.199999999997</v>
      </c>
      <c r="F44" s="55"/>
      <c r="G44" s="55"/>
      <c r="H44" s="13">
        <f t="shared" si="0"/>
        <v>0</v>
      </c>
      <c r="I44" s="17" t="s">
        <v>10</v>
      </c>
    </row>
    <row r="45" spans="1:9" ht="14.25">
      <c r="A45" s="61" t="s">
        <v>36</v>
      </c>
      <c r="B45" s="11" t="s">
        <v>11</v>
      </c>
      <c r="C45" s="13">
        <v>200000</v>
      </c>
      <c r="D45" s="65">
        <f>SUBTOTAL(9,C45:C48)</f>
        <v>9498587.7899999991</v>
      </c>
      <c r="E45" s="13"/>
      <c r="F45" s="55">
        <f>SUBTOTAL(9,E45:E48)</f>
        <v>10252649.719999999</v>
      </c>
      <c r="G45" s="55">
        <f>D45-F45</f>
        <v>-754061.9299999997</v>
      </c>
      <c r="H45" s="13">
        <f t="shared" si="0"/>
        <v>200000</v>
      </c>
      <c r="I45" s="18" t="s">
        <v>12</v>
      </c>
    </row>
    <row r="46" spans="1:9" ht="14.25">
      <c r="A46" s="61"/>
      <c r="B46" s="11" t="s">
        <v>13</v>
      </c>
      <c r="C46" s="13">
        <v>8354733.4500000002</v>
      </c>
      <c r="D46" s="65"/>
      <c r="E46" s="13">
        <v>9106304.0399999991</v>
      </c>
      <c r="F46" s="55"/>
      <c r="G46" s="55"/>
      <c r="H46" s="13">
        <f t="shared" si="0"/>
        <v>-751570.58999999892</v>
      </c>
      <c r="I46" s="18" t="s">
        <v>12</v>
      </c>
    </row>
    <row r="47" spans="1:9" ht="14.25">
      <c r="A47" s="61"/>
      <c r="B47" s="11" t="s">
        <v>15</v>
      </c>
      <c r="C47" s="13">
        <f>384000-250459.66</f>
        <v>133540.34</v>
      </c>
      <c r="D47" s="65"/>
      <c r="E47" s="13">
        <v>336033.68</v>
      </c>
      <c r="F47" s="55"/>
      <c r="G47" s="55"/>
      <c r="H47" s="13">
        <f t="shared" si="0"/>
        <v>-202493.34</v>
      </c>
      <c r="I47" s="17" t="s">
        <v>37</v>
      </c>
    </row>
    <row r="48" spans="1:9" ht="14.25">
      <c r="A48" s="61"/>
      <c r="B48" s="11" t="s">
        <v>18</v>
      </c>
      <c r="C48" s="13">
        <v>810314</v>
      </c>
      <c r="D48" s="65"/>
      <c r="E48" s="13">
        <v>810312</v>
      </c>
      <c r="F48" s="55"/>
      <c r="G48" s="55"/>
      <c r="H48" s="13">
        <f t="shared" si="0"/>
        <v>2</v>
      </c>
      <c r="I48" s="18" t="s">
        <v>12</v>
      </c>
    </row>
    <row r="49" spans="1:9" ht="28.5">
      <c r="A49" s="61"/>
      <c r="B49" s="11" t="s">
        <v>38</v>
      </c>
      <c r="C49" s="14">
        <v>320372</v>
      </c>
      <c r="D49" s="55"/>
      <c r="E49" s="13"/>
      <c r="F49" s="55"/>
      <c r="G49" s="55"/>
      <c r="H49" s="13">
        <f t="shared" si="0"/>
        <v>320372</v>
      </c>
      <c r="I49" s="17" t="s">
        <v>10</v>
      </c>
    </row>
    <row r="50" spans="1:9" ht="14.25">
      <c r="A50" s="61"/>
      <c r="B50" s="11" t="s">
        <v>7</v>
      </c>
      <c r="C50" s="12">
        <v>144369.35999999999</v>
      </c>
      <c r="D50" s="55"/>
      <c r="E50" s="13">
        <v>142324.68</v>
      </c>
      <c r="F50" s="55"/>
      <c r="G50" s="55"/>
      <c r="H50" s="13">
        <f t="shared" si="0"/>
        <v>2044.679999999993</v>
      </c>
      <c r="I50" s="17" t="s">
        <v>10</v>
      </c>
    </row>
    <row r="51" spans="1:9" ht="14.25">
      <c r="A51" s="61" t="s">
        <v>39</v>
      </c>
      <c r="B51" s="11" t="s">
        <v>11</v>
      </c>
      <c r="C51" s="13">
        <v>200000</v>
      </c>
      <c r="D51" s="65">
        <f>SUBTOTAL(9,C51:C54)</f>
        <v>12892005.57</v>
      </c>
      <c r="E51" s="13">
        <v>200000</v>
      </c>
      <c r="F51" s="55">
        <f>SUBTOTAL(9,E51:E54)</f>
        <v>13050748.800000001</v>
      </c>
      <c r="G51" s="55">
        <f>D51-F51</f>
        <v>-158743.23000000045</v>
      </c>
      <c r="H51" s="13">
        <f t="shared" si="0"/>
        <v>0</v>
      </c>
      <c r="I51" s="18" t="s">
        <v>12</v>
      </c>
    </row>
    <row r="52" spans="1:9" ht="14.25">
      <c r="A52" s="61"/>
      <c r="B52" s="11" t="s">
        <v>15</v>
      </c>
      <c r="C52" s="13">
        <v>493200</v>
      </c>
      <c r="D52" s="65"/>
      <c r="E52" s="13">
        <v>117120.08</v>
      </c>
      <c r="F52" s="55"/>
      <c r="G52" s="55"/>
      <c r="H52" s="13">
        <f t="shared" si="0"/>
        <v>376079.92</v>
      </c>
      <c r="I52" s="18" t="s">
        <v>12</v>
      </c>
    </row>
    <row r="53" spans="1:9" ht="14.25">
      <c r="A53" s="61"/>
      <c r="B53" s="11" t="s">
        <v>13</v>
      </c>
      <c r="C53" s="13">
        <v>11083020.57</v>
      </c>
      <c r="D53" s="65"/>
      <c r="E53" s="13">
        <v>11617845.720000001</v>
      </c>
      <c r="F53" s="55"/>
      <c r="G53" s="55"/>
      <c r="H53" s="13">
        <f t="shared" si="0"/>
        <v>-534825.15000000037</v>
      </c>
      <c r="I53" s="18" t="s">
        <v>12</v>
      </c>
    </row>
    <row r="54" spans="1:9" ht="14.25">
      <c r="A54" s="61"/>
      <c r="B54" s="11" t="s">
        <v>18</v>
      </c>
      <c r="C54" s="13">
        <v>1115785</v>
      </c>
      <c r="D54" s="65"/>
      <c r="E54" s="13">
        <v>1115783</v>
      </c>
      <c r="F54" s="55"/>
      <c r="G54" s="55"/>
      <c r="H54" s="13">
        <f t="shared" si="0"/>
        <v>2</v>
      </c>
      <c r="I54" s="18" t="s">
        <v>12</v>
      </c>
    </row>
    <row r="55" spans="1:9" ht="14.25">
      <c r="A55" s="61"/>
      <c r="B55" s="11" t="s">
        <v>7</v>
      </c>
      <c r="C55" s="12">
        <v>21532.799999999999</v>
      </c>
      <c r="D55" s="55"/>
      <c r="E55" s="13">
        <f>10766.4</f>
        <v>10766.4</v>
      </c>
      <c r="F55" s="55"/>
      <c r="G55" s="55"/>
      <c r="H55" s="13">
        <f t="shared" si="0"/>
        <v>10766.4</v>
      </c>
      <c r="I55" s="17" t="s">
        <v>10</v>
      </c>
    </row>
    <row r="56" spans="1:9" ht="14.25">
      <c r="A56" s="61" t="s">
        <v>40</v>
      </c>
      <c r="B56" s="11" t="s">
        <v>11</v>
      </c>
      <c r="C56" s="13">
        <v>200000</v>
      </c>
      <c r="D56" s="65">
        <f>SUBTOTAL(9,C56:C59)</f>
        <v>10233572.51</v>
      </c>
      <c r="E56" s="13">
        <f>SUM(I56:I56)</f>
        <v>0</v>
      </c>
      <c r="F56" s="55">
        <f>SUBTOTAL(9,E56:E59)</f>
        <v>11053854.109999999</v>
      </c>
      <c r="G56" s="55">
        <f>D56-F56</f>
        <v>-820281.59999999963</v>
      </c>
      <c r="H56" s="13">
        <f t="shared" si="0"/>
        <v>200000</v>
      </c>
      <c r="I56" s="18" t="s">
        <v>12</v>
      </c>
    </row>
    <row r="57" spans="1:9" ht="28.5">
      <c r="A57" s="61"/>
      <c r="B57" s="11" t="s">
        <v>13</v>
      </c>
      <c r="C57" s="13">
        <f>8728315.51+48100</f>
        <v>8776415.5099999998</v>
      </c>
      <c r="D57" s="65"/>
      <c r="E57" s="13">
        <v>9892809.1099999994</v>
      </c>
      <c r="F57" s="55"/>
      <c r="G57" s="55"/>
      <c r="H57" s="13">
        <f t="shared" si="0"/>
        <v>-1116393.5999999996</v>
      </c>
      <c r="I57" s="17" t="s">
        <v>41</v>
      </c>
    </row>
    <row r="58" spans="1:9" ht="14.25">
      <c r="A58" s="61"/>
      <c r="B58" s="11" t="s">
        <v>15</v>
      </c>
      <c r="C58" s="13">
        <v>162000</v>
      </c>
      <c r="D58" s="65"/>
      <c r="E58" s="13">
        <v>65890</v>
      </c>
      <c r="F58" s="55"/>
      <c r="G58" s="55"/>
      <c r="H58" s="13">
        <f t="shared" si="0"/>
        <v>96110</v>
      </c>
      <c r="I58" s="18" t="s">
        <v>12</v>
      </c>
    </row>
    <row r="59" spans="1:9" ht="14.25">
      <c r="A59" s="61"/>
      <c r="B59" s="11" t="s">
        <v>18</v>
      </c>
      <c r="C59" s="13">
        <v>1095157</v>
      </c>
      <c r="D59" s="65"/>
      <c r="E59" s="13">
        <v>1095155</v>
      </c>
      <c r="F59" s="55"/>
      <c r="G59" s="55"/>
      <c r="H59" s="13">
        <f t="shared" si="0"/>
        <v>2</v>
      </c>
      <c r="I59" s="18" t="s">
        <v>12</v>
      </c>
    </row>
    <row r="60" spans="1:9" ht="14.25">
      <c r="A60" s="61"/>
      <c r="B60" s="11" t="s">
        <v>7</v>
      </c>
      <c r="C60" s="12">
        <v>63309.599999999999</v>
      </c>
      <c r="D60" s="55"/>
      <c r="E60" s="13">
        <v>56469</v>
      </c>
      <c r="F60" s="55"/>
      <c r="G60" s="55"/>
      <c r="H60" s="13">
        <f t="shared" si="0"/>
        <v>6840.5999999999985</v>
      </c>
      <c r="I60" s="17" t="s">
        <v>10</v>
      </c>
    </row>
    <row r="61" spans="1:9" ht="14.25">
      <c r="A61" s="61" t="s">
        <v>42</v>
      </c>
      <c r="B61" s="11" t="s">
        <v>13</v>
      </c>
      <c r="C61" s="13">
        <v>12162651.08</v>
      </c>
      <c r="D61" s="65">
        <f>SUBTOTAL(9,C61:C64)</f>
        <v>14203335.08</v>
      </c>
      <c r="E61" s="13">
        <v>11112889.68</v>
      </c>
      <c r="F61" s="55">
        <f>SUBTOTAL(9,E61:E64)</f>
        <v>13082089.68</v>
      </c>
      <c r="G61" s="55">
        <f>D61-F61</f>
        <v>1121245.4000000004</v>
      </c>
      <c r="H61" s="13">
        <f t="shared" si="0"/>
        <v>1049761.4000000004</v>
      </c>
      <c r="I61" s="18" t="s">
        <v>12</v>
      </c>
    </row>
    <row r="62" spans="1:9" ht="14.25">
      <c r="A62" s="61"/>
      <c r="B62" s="11" t="s">
        <v>15</v>
      </c>
      <c r="C62" s="13">
        <v>178800</v>
      </c>
      <c r="D62" s="65"/>
      <c r="E62" s="13">
        <v>107320</v>
      </c>
      <c r="F62" s="55"/>
      <c r="G62" s="55"/>
      <c r="H62" s="13">
        <f t="shared" si="0"/>
        <v>71480</v>
      </c>
      <c r="I62" s="18" t="s">
        <v>12</v>
      </c>
    </row>
    <row r="63" spans="1:9" ht="14.25">
      <c r="A63" s="61"/>
      <c r="B63" s="11" t="s">
        <v>18</v>
      </c>
      <c r="C63" s="13">
        <v>1661884</v>
      </c>
      <c r="D63" s="65"/>
      <c r="E63" s="13">
        <v>1661880</v>
      </c>
      <c r="F63" s="55"/>
      <c r="G63" s="55"/>
      <c r="H63" s="13">
        <f t="shared" si="0"/>
        <v>4</v>
      </c>
      <c r="I63" s="18" t="s">
        <v>12</v>
      </c>
    </row>
    <row r="64" spans="1:9" ht="14.25">
      <c r="A64" s="61"/>
      <c r="B64" s="11" t="s">
        <v>11</v>
      </c>
      <c r="C64" s="13">
        <v>200000</v>
      </c>
      <c r="D64" s="65"/>
      <c r="E64" s="13">
        <v>200000</v>
      </c>
      <c r="F64" s="55"/>
      <c r="G64" s="55"/>
      <c r="H64" s="13">
        <f t="shared" si="0"/>
        <v>0</v>
      </c>
      <c r="I64" s="18" t="s">
        <v>12</v>
      </c>
    </row>
    <row r="65" spans="1:9" ht="14.25">
      <c r="A65" s="61"/>
      <c r="B65" s="11" t="s">
        <v>7</v>
      </c>
      <c r="C65" s="12">
        <v>294905.76</v>
      </c>
      <c r="D65" s="55"/>
      <c r="E65" s="13">
        <v>284822.40000000002</v>
      </c>
      <c r="F65" s="55"/>
      <c r="G65" s="55"/>
      <c r="H65" s="13">
        <f t="shared" si="0"/>
        <v>10083.359999999986</v>
      </c>
      <c r="I65" s="17" t="s">
        <v>10</v>
      </c>
    </row>
    <row r="66" spans="1:9" ht="14.25">
      <c r="A66" s="61" t="s">
        <v>43</v>
      </c>
      <c r="B66" s="11" t="s">
        <v>11</v>
      </c>
      <c r="C66" s="13">
        <v>200000</v>
      </c>
      <c r="D66" s="65">
        <f>SUBTOTAL(9,C66:C69)</f>
        <v>11286480.67</v>
      </c>
      <c r="E66" s="13">
        <v>200000</v>
      </c>
      <c r="F66" s="55">
        <f>SUBTOTAL(9,E66:E69)</f>
        <v>13891360.17</v>
      </c>
      <c r="G66" s="55">
        <f>D66-F66</f>
        <v>-2604879.5</v>
      </c>
      <c r="H66" s="13">
        <f t="shared" si="0"/>
        <v>0</v>
      </c>
      <c r="I66" s="18" t="s">
        <v>12</v>
      </c>
    </row>
    <row r="67" spans="1:9" ht="14.25">
      <c r="A67" s="61"/>
      <c r="B67" s="11" t="s">
        <v>13</v>
      </c>
      <c r="C67" s="13">
        <v>9519852.6699999999</v>
      </c>
      <c r="D67" s="65"/>
      <c r="E67" s="13">
        <v>12303298.67</v>
      </c>
      <c r="F67" s="55"/>
      <c r="G67" s="55"/>
      <c r="H67" s="13">
        <f t="shared" ref="H67:H114" si="1">C67-E67</f>
        <v>-2783446</v>
      </c>
      <c r="I67" s="18" t="s">
        <v>12</v>
      </c>
    </row>
    <row r="68" spans="1:9" ht="14.25">
      <c r="A68" s="61"/>
      <c r="B68" s="11" t="s">
        <v>15</v>
      </c>
      <c r="C68" s="13">
        <v>516000</v>
      </c>
      <c r="D68" s="65"/>
      <c r="E68" s="13">
        <v>337435.5</v>
      </c>
      <c r="F68" s="55"/>
      <c r="G68" s="55"/>
      <c r="H68" s="13">
        <f t="shared" si="1"/>
        <v>178564.5</v>
      </c>
      <c r="I68" s="18" t="s">
        <v>12</v>
      </c>
    </row>
    <row r="69" spans="1:9" ht="14.25">
      <c r="A69" s="61"/>
      <c r="B69" s="11" t="s">
        <v>18</v>
      </c>
      <c r="C69" s="13">
        <v>1050628</v>
      </c>
      <c r="D69" s="65"/>
      <c r="E69" s="13">
        <v>1050626</v>
      </c>
      <c r="F69" s="55"/>
      <c r="G69" s="55"/>
      <c r="H69" s="13">
        <f t="shared" si="1"/>
        <v>2</v>
      </c>
      <c r="I69" s="18" t="s">
        <v>12</v>
      </c>
    </row>
    <row r="70" spans="1:9" ht="14.25">
      <c r="A70" s="61"/>
      <c r="B70" s="11" t="s">
        <v>7</v>
      </c>
      <c r="C70" s="12">
        <v>101876.04</v>
      </c>
      <c r="D70" s="55"/>
      <c r="E70" s="13">
        <v>101876.04</v>
      </c>
      <c r="F70" s="55"/>
      <c r="G70" s="55"/>
      <c r="H70" s="13">
        <f t="shared" si="1"/>
        <v>0</v>
      </c>
      <c r="I70" s="17" t="s">
        <v>10</v>
      </c>
    </row>
    <row r="71" spans="1:9" ht="14.25">
      <c r="A71" s="61" t="s">
        <v>44</v>
      </c>
      <c r="B71" s="11" t="s">
        <v>11</v>
      </c>
      <c r="C71" s="13">
        <v>200000</v>
      </c>
      <c r="D71" s="65">
        <f>SUBTOTAL(9,C71:C74)</f>
        <v>9051087.4699999988</v>
      </c>
      <c r="E71" s="13">
        <v>200000</v>
      </c>
      <c r="F71" s="55">
        <f>SUBTOTAL(9,E71:E74)</f>
        <v>10136252.450000001</v>
      </c>
      <c r="G71" s="55">
        <f>D71-F71</f>
        <v>-1085164.9800000023</v>
      </c>
      <c r="H71" s="13">
        <f t="shared" si="1"/>
        <v>0</v>
      </c>
      <c r="I71" s="18" t="s">
        <v>12</v>
      </c>
    </row>
    <row r="72" spans="1:9" ht="14.25">
      <c r="A72" s="61"/>
      <c r="B72" s="11" t="s">
        <v>13</v>
      </c>
      <c r="C72" s="13">
        <v>7708773.4699999997</v>
      </c>
      <c r="D72" s="65"/>
      <c r="E72" s="13">
        <v>8944229.1500000004</v>
      </c>
      <c r="F72" s="55"/>
      <c r="G72" s="55"/>
      <c r="H72" s="13">
        <f t="shared" si="1"/>
        <v>-1235455.6800000006</v>
      </c>
      <c r="I72" s="18" t="s">
        <v>12</v>
      </c>
    </row>
    <row r="73" spans="1:9" ht="14.25">
      <c r="A73" s="61"/>
      <c r="B73" s="11" t="s">
        <v>15</v>
      </c>
      <c r="C73" s="13">
        <v>372000</v>
      </c>
      <c r="D73" s="65"/>
      <c r="E73" s="13">
        <v>221711.3</v>
      </c>
      <c r="F73" s="55"/>
      <c r="G73" s="55"/>
      <c r="H73" s="13">
        <f t="shared" si="1"/>
        <v>150288.70000000001</v>
      </c>
      <c r="I73" s="18" t="s">
        <v>12</v>
      </c>
    </row>
    <row r="74" spans="1:9" ht="14.25">
      <c r="A74" s="61"/>
      <c r="B74" s="11" t="s">
        <v>18</v>
      </c>
      <c r="C74" s="13">
        <v>770314</v>
      </c>
      <c r="D74" s="65"/>
      <c r="E74" s="13">
        <v>770312</v>
      </c>
      <c r="F74" s="55"/>
      <c r="G74" s="55"/>
      <c r="H74" s="13">
        <f t="shared" si="1"/>
        <v>2</v>
      </c>
      <c r="I74" s="18" t="s">
        <v>12</v>
      </c>
    </row>
    <row r="75" spans="1:9" ht="14.25">
      <c r="A75" s="61"/>
      <c r="B75" s="11" t="s">
        <v>7</v>
      </c>
      <c r="C75" s="12">
        <v>177744</v>
      </c>
      <c r="D75" s="55"/>
      <c r="E75" s="13">
        <v>177744</v>
      </c>
      <c r="F75" s="55"/>
      <c r="G75" s="55"/>
      <c r="H75" s="13">
        <f t="shared" si="1"/>
        <v>0</v>
      </c>
      <c r="I75" s="17" t="s">
        <v>10</v>
      </c>
    </row>
    <row r="76" spans="1:9" ht="14.25">
      <c r="A76" s="61" t="s">
        <v>45</v>
      </c>
      <c r="B76" s="11" t="s">
        <v>11</v>
      </c>
      <c r="C76" s="13">
        <v>200000</v>
      </c>
      <c r="D76" s="65">
        <f>SUBTOTAL(9,C76:C80)</f>
        <v>11789630.220000001</v>
      </c>
      <c r="E76" s="13">
        <v>200000</v>
      </c>
      <c r="F76" s="55">
        <f>SUBTOTAL(9,E76:E80)</f>
        <v>12666753.689999999</v>
      </c>
      <c r="G76" s="55">
        <f>D76-F76</f>
        <v>-877123.46999999881</v>
      </c>
      <c r="H76" s="13">
        <f t="shared" si="1"/>
        <v>0</v>
      </c>
      <c r="I76" s="18" t="s">
        <v>12</v>
      </c>
    </row>
    <row r="77" spans="1:9" ht="18.95" customHeight="1">
      <c r="A77" s="61"/>
      <c r="B77" s="11" t="s">
        <v>7</v>
      </c>
      <c r="C77" s="12">
        <v>113544</v>
      </c>
      <c r="D77" s="55"/>
      <c r="E77" s="13">
        <v>113823</v>
      </c>
      <c r="F77" s="55"/>
      <c r="G77" s="55"/>
      <c r="H77" s="13">
        <f t="shared" si="1"/>
        <v>-279</v>
      </c>
      <c r="I77" s="17" t="s">
        <v>10</v>
      </c>
    </row>
    <row r="78" spans="1:9" ht="14.25">
      <c r="A78" s="61"/>
      <c r="B78" s="11" t="s">
        <v>15</v>
      </c>
      <c r="C78" s="13">
        <f>504000-158374.6</f>
        <v>345625.4</v>
      </c>
      <c r="D78" s="65"/>
      <c r="E78" s="13">
        <v>249127.27</v>
      </c>
      <c r="F78" s="55"/>
      <c r="G78" s="55"/>
      <c r="H78" s="13">
        <f t="shared" si="1"/>
        <v>96498.130000000034</v>
      </c>
      <c r="I78" s="17" t="s">
        <v>46</v>
      </c>
    </row>
    <row r="79" spans="1:9" ht="14.25">
      <c r="A79" s="61"/>
      <c r="B79" s="11" t="s">
        <v>13</v>
      </c>
      <c r="C79" s="13">
        <v>10080146.82</v>
      </c>
      <c r="D79" s="65"/>
      <c r="E79" s="13">
        <v>11053491.42</v>
      </c>
      <c r="F79" s="55"/>
      <c r="G79" s="55"/>
      <c r="H79" s="13">
        <f t="shared" si="1"/>
        <v>-973344.59999999963</v>
      </c>
      <c r="I79" s="18" t="s">
        <v>12</v>
      </c>
    </row>
    <row r="80" spans="1:9" ht="14.25">
      <c r="A80" s="61"/>
      <c r="B80" s="11" t="s">
        <v>18</v>
      </c>
      <c r="C80" s="13">
        <v>1050314</v>
      </c>
      <c r="D80" s="65"/>
      <c r="E80" s="13">
        <v>1050312</v>
      </c>
      <c r="F80" s="55"/>
      <c r="G80" s="55"/>
      <c r="H80" s="13">
        <f t="shared" si="1"/>
        <v>2</v>
      </c>
      <c r="I80" s="18" t="s">
        <v>12</v>
      </c>
    </row>
    <row r="81" spans="1:9" ht="14.25">
      <c r="A81" s="61" t="s">
        <v>47</v>
      </c>
      <c r="B81" s="11" t="s">
        <v>48</v>
      </c>
      <c r="C81" s="13">
        <v>815800</v>
      </c>
      <c r="D81" s="55">
        <f>SUBTOTAL(9,C81:C88)</f>
        <v>7416064.6299999999</v>
      </c>
      <c r="E81" s="13"/>
      <c r="F81" s="55">
        <f>SUBTOTAL(9,E81:E88)</f>
        <v>6378222.9799999995</v>
      </c>
      <c r="G81" s="55">
        <f>D81-F81</f>
        <v>1037841.6500000004</v>
      </c>
      <c r="H81" s="13">
        <f t="shared" si="1"/>
        <v>815800</v>
      </c>
      <c r="I81" s="18" t="s">
        <v>12</v>
      </c>
    </row>
    <row r="82" spans="1:9" ht="14.25">
      <c r="A82" s="61"/>
      <c r="B82" s="11" t="s">
        <v>13</v>
      </c>
      <c r="C82" s="13">
        <f>4645664.63</f>
        <v>4645664.63</v>
      </c>
      <c r="D82" s="55"/>
      <c r="E82" s="13">
        <f>5390358.68+202664.3</f>
        <v>5593022.9799999995</v>
      </c>
      <c r="F82" s="55"/>
      <c r="G82" s="55"/>
      <c r="H82" s="13">
        <f t="shared" si="1"/>
        <v>-947358.34999999963</v>
      </c>
      <c r="I82" s="18" t="s">
        <v>12</v>
      </c>
    </row>
    <row r="83" spans="1:9" ht="14.25">
      <c r="A83" s="61"/>
      <c r="B83" s="11" t="s">
        <v>18</v>
      </c>
      <c r="C83" s="13">
        <v>440000</v>
      </c>
      <c r="D83" s="55"/>
      <c r="E83" s="13">
        <v>440000</v>
      </c>
      <c r="F83" s="55"/>
      <c r="G83" s="55"/>
      <c r="H83" s="13">
        <f t="shared" si="1"/>
        <v>0</v>
      </c>
      <c r="I83" s="18" t="s">
        <v>12</v>
      </c>
    </row>
    <row r="84" spans="1:9" ht="28.5">
      <c r="A84" s="61"/>
      <c r="B84" s="11" t="s">
        <v>49</v>
      </c>
      <c r="C84" s="12">
        <v>50000</v>
      </c>
      <c r="D84" s="55"/>
      <c r="E84" s="13">
        <v>50000</v>
      </c>
      <c r="F84" s="55"/>
      <c r="G84" s="55"/>
      <c r="H84" s="13">
        <f t="shared" si="1"/>
        <v>0</v>
      </c>
      <c r="I84" s="18" t="s">
        <v>10</v>
      </c>
    </row>
    <row r="85" spans="1:9" ht="17.25" customHeight="1">
      <c r="A85" s="61"/>
      <c r="B85" s="11" t="s">
        <v>50</v>
      </c>
      <c r="C85" s="12">
        <v>295200</v>
      </c>
      <c r="D85" s="55"/>
      <c r="E85" s="13">
        <v>295200</v>
      </c>
      <c r="F85" s="55"/>
      <c r="G85" s="55"/>
      <c r="H85" s="13">
        <f t="shared" si="1"/>
        <v>0</v>
      </c>
      <c r="I85" s="18" t="s">
        <v>10</v>
      </c>
    </row>
    <row r="86" spans="1:9" ht="14.25">
      <c r="A86" s="61"/>
      <c r="B86" s="11" t="s">
        <v>51</v>
      </c>
      <c r="C86" s="14">
        <v>969400</v>
      </c>
      <c r="D86" s="55"/>
      <c r="E86" s="13"/>
      <c r="F86" s="55"/>
      <c r="G86" s="55"/>
      <c r="H86" s="13">
        <f t="shared" si="1"/>
        <v>969400</v>
      </c>
      <c r="I86" s="18" t="s">
        <v>10</v>
      </c>
    </row>
    <row r="87" spans="1:9" ht="14.25">
      <c r="A87" s="61"/>
      <c r="B87" s="11" t="s">
        <v>52</v>
      </c>
      <c r="C87" s="13">
        <v>80000</v>
      </c>
      <c r="D87" s="55"/>
      <c r="E87" s="13"/>
      <c r="F87" s="55"/>
      <c r="G87" s="55"/>
      <c r="H87" s="13">
        <f t="shared" si="1"/>
        <v>80000</v>
      </c>
      <c r="I87" s="52" t="s">
        <v>25</v>
      </c>
    </row>
    <row r="88" spans="1:9" ht="14.25">
      <c r="A88" s="61"/>
      <c r="B88" s="11" t="s">
        <v>53</v>
      </c>
      <c r="C88" s="13">
        <v>120000</v>
      </c>
      <c r="D88" s="55"/>
      <c r="E88" s="13"/>
      <c r="F88" s="55"/>
      <c r="G88" s="55"/>
      <c r="H88" s="13">
        <f t="shared" si="1"/>
        <v>120000</v>
      </c>
      <c r="I88" s="52"/>
    </row>
    <row r="89" spans="1:9" ht="14.25">
      <c r="A89" s="61"/>
      <c r="B89" s="11" t="s">
        <v>54</v>
      </c>
      <c r="C89" s="12">
        <v>30000</v>
      </c>
      <c r="D89" s="55"/>
      <c r="E89" s="13">
        <v>30000</v>
      </c>
      <c r="F89" s="55"/>
      <c r="G89" s="55"/>
      <c r="H89" s="13">
        <f t="shared" si="1"/>
        <v>0</v>
      </c>
      <c r="I89" s="18" t="s">
        <v>10</v>
      </c>
    </row>
    <row r="90" spans="1:9" ht="14.25">
      <c r="A90" s="61" t="s">
        <v>55</v>
      </c>
      <c r="B90" s="11" t="s">
        <v>56</v>
      </c>
      <c r="C90" s="12">
        <v>60000</v>
      </c>
      <c r="D90" s="55">
        <f>SUBTOTAL(9,C91:C96)</f>
        <v>5101643.58</v>
      </c>
      <c r="E90" s="13">
        <v>60000</v>
      </c>
      <c r="F90" s="55">
        <f>SUBTOTAL(9,E91:E96)</f>
        <v>4732284.08</v>
      </c>
      <c r="G90" s="55">
        <f>D90-F90</f>
        <v>369359.5</v>
      </c>
      <c r="H90" s="13">
        <f t="shared" si="1"/>
        <v>0</v>
      </c>
      <c r="I90" s="18" t="s">
        <v>10</v>
      </c>
    </row>
    <row r="91" spans="1:9" ht="14.25">
      <c r="A91" s="61"/>
      <c r="B91" s="11" t="s">
        <v>57</v>
      </c>
      <c r="C91" s="13">
        <v>650000</v>
      </c>
      <c r="D91" s="55"/>
      <c r="E91" s="13">
        <v>650000</v>
      </c>
      <c r="F91" s="55"/>
      <c r="G91" s="55"/>
      <c r="H91" s="13">
        <f t="shared" si="1"/>
        <v>0</v>
      </c>
      <c r="I91" s="18" t="s">
        <v>12</v>
      </c>
    </row>
    <row r="92" spans="1:9" ht="14.25">
      <c r="A92" s="61"/>
      <c r="B92" s="11" t="s">
        <v>58</v>
      </c>
      <c r="C92" s="13">
        <v>400800</v>
      </c>
      <c r="D92" s="55"/>
      <c r="E92" s="13">
        <v>400800</v>
      </c>
      <c r="F92" s="55"/>
      <c r="G92" s="55"/>
      <c r="H92" s="13">
        <f t="shared" si="1"/>
        <v>0</v>
      </c>
      <c r="I92" s="52" t="s">
        <v>25</v>
      </c>
    </row>
    <row r="93" spans="1:9" ht="14.25">
      <c r="A93" s="61"/>
      <c r="B93" s="11" t="s">
        <v>59</v>
      </c>
      <c r="C93" s="13">
        <v>90357</v>
      </c>
      <c r="D93" s="55"/>
      <c r="E93" s="13">
        <v>90357</v>
      </c>
      <c r="F93" s="55"/>
      <c r="G93" s="55"/>
      <c r="H93" s="13">
        <f t="shared" si="1"/>
        <v>0</v>
      </c>
      <c r="I93" s="52"/>
    </row>
    <row r="94" spans="1:9" ht="14.25">
      <c r="A94" s="61"/>
      <c r="B94" s="11" t="s">
        <v>60</v>
      </c>
      <c r="C94" s="12">
        <v>318285</v>
      </c>
      <c r="D94" s="55"/>
      <c r="E94" s="13">
        <v>318285</v>
      </c>
      <c r="F94" s="55"/>
      <c r="G94" s="55"/>
      <c r="H94" s="13">
        <f t="shared" si="1"/>
        <v>0</v>
      </c>
      <c r="I94" s="18" t="s">
        <v>10</v>
      </c>
    </row>
    <row r="95" spans="1:9" ht="14.25">
      <c r="A95" s="61"/>
      <c r="B95" s="11" t="s">
        <v>13</v>
      </c>
      <c r="C95" s="13">
        <v>3402201.58</v>
      </c>
      <c r="D95" s="55"/>
      <c r="E95" s="13">
        <v>3032842.08</v>
      </c>
      <c r="F95" s="55"/>
      <c r="G95" s="55"/>
      <c r="H95" s="13">
        <f t="shared" si="1"/>
        <v>369359.5</v>
      </c>
      <c r="I95" s="18" t="s">
        <v>12</v>
      </c>
    </row>
    <row r="96" spans="1:9" ht="14.25">
      <c r="A96" s="61"/>
      <c r="B96" s="11" t="s">
        <v>18</v>
      </c>
      <c r="C96" s="13">
        <v>240000</v>
      </c>
      <c r="D96" s="55"/>
      <c r="E96" s="13">
        <v>240000</v>
      </c>
      <c r="F96" s="55"/>
      <c r="G96" s="55"/>
      <c r="H96" s="13">
        <f t="shared" si="1"/>
        <v>0</v>
      </c>
      <c r="I96" s="18" t="s">
        <v>12</v>
      </c>
    </row>
    <row r="97" spans="1:9" ht="14.25">
      <c r="A97" s="61" t="s">
        <v>61</v>
      </c>
      <c r="B97" s="11" t="s">
        <v>52</v>
      </c>
      <c r="C97" s="12">
        <v>60000</v>
      </c>
      <c r="D97" s="55">
        <f>SUBTOTAL(9,C98:C100)</f>
        <v>2825059.0300000003</v>
      </c>
      <c r="E97" s="13">
        <v>60000</v>
      </c>
      <c r="F97" s="55">
        <f>SUBTOTAL(9,E98:E100)</f>
        <v>3244353.82</v>
      </c>
      <c r="G97" s="55">
        <f>D97-F97</f>
        <v>-419294.78999999957</v>
      </c>
      <c r="H97" s="13">
        <f t="shared" si="1"/>
        <v>0</v>
      </c>
      <c r="I97" s="18" t="s">
        <v>10</v>
      </c>
    </row>
    <row r="98" spans="1:9" ht="14.25">
      <c r="A98" s="61"/>
      <c r="B98" s="11" t="s">
        <v>62</v>
      </c>
      <c r="C98" s="13">
        <v>8866.6</v>
      </c>
      <c r="D98" s="55"/>
      <c r="E98" s="13"/>
      <c r="F98" s="55"/>
      <c r="G98" s="55"/>
      <c r="H98" s="13">
        <f t="shared" si="1"/>
        <v>8866.6</v>
      </c>
      <c r="I98" s="18" t="s">
        <v>25</v>
      </c>
    </row>
    <row r="99" spans="1:9" ht="14.25">
      <c r="A99" s="61"/>
      <c r="B99" s="11" t="s">
        <v>13</v>
      </c>
      <c r="C99" s="13">
        <v>2616192.4300000002</v>
      </c>
      <c r="D99" s="55"/>
      <c r="E99" s="13">
        <v>3044353.82</v>
      </c>
      <c r="F99" s="55"/>
      <c r="G99" s="55"/>
      <c r="H99" s="13">
        <f t="shared" si="1"/>
        <v>-428161.38999999966</v>
      </c>
      <c r="I99" s="18" t="s">
        <v>12</v>
      </c>
    </row>
    <row r="100" spans="1:9" ht="14.25">
      <c r="A100" s="61"/>
      <c r="B100" s="11" t="s">
        <v>18</v>
      </c>
      <c r="C100" s="13">
        <v>200000</v>
      </c>
      <c r="D100" s="55"/>
      <c r="E100" s="13">
        <v>200000</v>
      </c>
      <c r="F100" s="55"/>
      <c r="G100" s="55"/>
      <c r="H100" s="13">
        <f t="shared" si="1"/>
        <v>0</v>
      </c>
      <c r="I100" s="18" t="s">
        <v>12</v>
      </c>
    </row>
    <row r="101" spans="1:9" ht="14.25">
      <c r="A101" s="61" t="s">
        <v>63</v>
      </c>
      <c r="B101" s="11" t="s">
        <v>64</v>
      </c>
      <c r="C101" s="12">
        <v>636200</v>
      </c>
      <c r="D101" s="55">
        <f>SUBTOTAL(9,C102:C108)</f>
        <v>21390680.34</v>
      </c>
      <c r="E101" s="13">
        <v>636200</v>
      </c>
      <c r="F101" s="55">
        <f>SUBTOTAL(9,E102:E108)</f>
        <v>15937597.120000001</v>
      </c>
      <c r="G101" s="55">
        <f>D101-F101</f>
        <v>5453083.2199999988</v>
      </c>
      <c r="H101" s="13">
        <f t="shared" si="1"/>
        <v>0</v>
      </c>
      <c r="I101" s="18" t="s">
        <v>10</v>
      </c>
    </row>
    <row r="102" spans="1:9" ht="28.5">
      <c r="A102" s="67"/>
      <c r="B102" s="11" t="s">
        <v>65</v>
      </c>
      <c r="C102" s="13">
        <f>8000000</f>
        <v>8000000</v>
      </c>
      <c r="D102" s="55"/>
      <c r="E102" s="13">
        <v>8000000</v>
      </c>
      <c r="F102" s="55"/>
      <c r="G102" s="55"/>
      <c r="H102" s="13">
        <f t="shared" si="1"/>
        <v>0</v>
      </c>
      <c r="I102" s="18" t="s">
        <v>12</v>
      </c>
    </row>
    <row r="103" spans="1:9" ht="57">
      <c r="A103" s="61"/>
      <c r="B103" s="11" t="s">
        <v>66</v>
      </c>
      <c r="C103" s="15">
        <v>5681642</v>
      </c>
      <c r="D103" s="55"/>
      <c r="E103" s="13"/>
      <c r="F103" s="55"/>
      <c r="G103" s="55"/>
      <c r="H103" s="13">
        <f t="shared" si="1"/>
        <v>5681642</v>
      </c>
      <c r="I103" s="18" t="s">
        <v>10</v>
      </c>
    </row>
    <row r="104" spans="1:9" ht="14.25">
      <c r="A104" s="67"/>
      <c r="B104" s="11" t="s">
        <v>67</v>
      </c>
      <c r="C104" s="13">
        <v>300000</v>
      </c>
      <c r="D104" s="55"/>
      <c r="E104" s="13"/>
      <c r="F104" s="55"/>
      <c r="G104" s="55"/>
      <c r="H104" s="13">
        <f t="shared" si="1"/>
        <v>300000</v>
      </c>
      <c r="I104" s="18" t="s">
        <v>12</v>
      </c>
    </row>
    <row r="105" spans="1:9" ht="14.25">
      <c r="A105" s="61"/>
      <c r="B105" s="11" t="s">
        <v>68</v>
      </c>
      <c r="C105" s="12">
        <v>1000000</v>
      </c>
      <c r="D105" s="55"/>
      <c r="E105" s="13">
        <v>1000000</v>
      </c>
      <c r="F105" s="55"/>
      <c r="G105" s="55"/>
      <c r="H105" s="13">
        <f t="shared" si="1"/>
        <v>0</v>
      </c>
      <c r="I105" s="18" t="s">
        <v>10</v>
      </c>
    </row>
    <row r="106" spans="1:9" ht="14.25">
      <c r="A106" s="67"/>
      <c r="B106" s="11" t="s">
        <v>13</v>
      </c>
      <c r="C106" s="13">
        <v>5447038.3399999999</v>
      </c>
      <c r="D106" s="55"/>
      <c r="E106" s="13">
        <v>5975597.1200000001</v>
      </c>
      <c r="F106" s="55"/>
      <c r="G106" s="55"/>
      <c r="H106" s="13">
        <f t="shared" si="1"/>
        <v>-528558.78000000026</v>
      </c>
      <c r="I106" s="18" t="s">
        <v>12</v>
      </c>
    </row>
    <row r="107" spans="1:9" ht="14.25">
      <c r="A107" s="67"/>
      <c r="B107" s="11" t="s">
        <v>18</v>
      </c>
      <c r="C107" s="13">
        <v>440000</v>
      </c>
      <c r="D107" s="55"/>
      <c r="E107" s="13">
        <v>440000</v>
      </c>
      <c r="F107" s="55"/>
      <c r="G107" s="55"/>
      <c r="H107" s="13">
        <f t="shared" si="1"/>
        <v>0</v>
      </c>
      <c r="I107" s="18" t="s">
        <v>12</v>
      </c>
    </row>
    <row r="108" spans="1:9" ht="28.5">
      <c r="A108" s="67"/>
      <c r="B108" s="11" t="s">
        <v>69</v>
      </c>
      <c r="C108" s="13">
        <v>522000</v>
      </c>
      <c r="D108" s="55"/>
      <c r="E108" s="13">
        <v>522000</v>
      </c>
      <c r="F108" s="55"/>
      <c r="G108" s="55"/>
      <c r="H108" s="13">
        <f t="shared" si="1"/>
        <v>0</v>
      </c>
      <c r="I108" s="18" t="s">
        <v>12</v>
      </c>
    </row>
    <row r="109" spans="1:9" ht="14.25">
      <c r="A109" s="61" t="s">
        <v>70</v>
      </c>
      <c r="B109" s="11" t="s">
        <v>13</v>
      </c>
      <c r="C109" s="13">
        <v>834584.2</v>
      </c>
      <c r="D109" s="55">
        <f>C109+C110</f>
        <v>914584.2</v>
      </c>
      <c r="E109" s="13">
        <v>1237221.3</v>
      </c>
      <c r="F109" s="55">
        <f>SUBTOTAL(9,E109:E110)</f>
        <v>1317221.3</v>
      </c>
      <c r="G109" s="55">
        <f t="shared" ref="G109:G113" si="2">D109-F109</f>
        <v>-402637.10000000009</v>
      </c>
      <c r="H109" s="13">
        <f t="shared" si="1"/>
        <v>-402637.10000000009</v>
      </c>
      <c r="I109" s="18" t="s">
        <v>12</v>
      </c>
    </row>
    <row r="110" spans="1:9" ht="14.25">
      <c r="A110" s="61"/>
      <c r="B110" s="11" t="s">
        <v>18</v>
      </c>
      <c r="C110" s="13">
        <v>80000</v>
      </c>
      <c r="D110" s="55"/>
      <c r="E110" s="13">
        <v>80000</v>
      </c>
      <c r="F110" s="55"/>
      <c r="G110" s="55"/>
      <c r="H110" s="13">
        <f t="shared" si="1"/>
        <v>0</v>
      </c>
      <c r="I110" s="18" t="s">
        <v>12</v>
      </c>
    </row>
    <row r="111" spans="1:9" ht="14.25">
      <c r="A111" s="61" t="s">
        <v>71</v>
      </c>
      <c r="B111" s="11" t="s">
        <v>13</v>
      </c>
      <c r="C111" s="13">
        <v>483639.43</v>
      </c>
      <c r="D111" s="55">
        <f>C111+C112</f>
        <v>523639.43</v>
      </c>
      <c r="E111" s="13">
        <v>587530.74</v>
      </c>
      <c r="F111" s="55">
        <f>SUBTOTAL(9,E111:E112)</f>
        <v>627530.74</v>
      </c>
      <c r="G111" s="55">
        <f t="shared" si="2"/>
        <v>-103891.31</v>
      </c>
      <c r="H111" s="13">
        <f t="shared" si="1"/>
        <v>-103891.31</v>
      </c>
      <c r="I111" s="18" t="s">
        <v>12</v>
      </c>
    </row>
    <row r="112" spans="1:9" ht="14.25">
      <c r="A112" s="61"/>
      <c r="B112" s="11" t="s">
        <v>18</v>
      </c>
      <c r="C112" s="13">
        <v>40000</v>
      </c>
      <c r="D112" s="55"/>
      <c r="E112" s="13">
        <v>40000</v>
      </c>
      <c r="F112" s="55"/>
      <c r="G112" s="55"/>
      <c r="H112" s="13">
        <f t="shared" si="1"/>
        <v>0</v>
      </c>
      <c r="I112" s="18" t="s">
        <v>12</v>
      </c>
    </row>
    <row r="113" spans="1:9" ht="14.25">
      <c r="A113" s="61" t="s">
        <v>72</v>
      </c>
      <c r="B113" s="11" t="s">
        <v>13</v>
      </c>
      <c r="C113" s="13">
        <v>7715705.5899999999</v>
      </c>
      <c r="D113" s="55">
        <f>SUBTOTAL(9,C113:C152)</f>
        <v>229057394.62999997</v>
      </c>
      <c r="E113" s="13">
        <v>9034493.3699999992</v>
      </c>
      <c r="F113" s="55">
        <f>SUBTOTAL(9,E113:E152)</f>
        <v>207432483.81999999</v>
      </c>
      <c r="G113" s="55">
        <f t="shared" si="2"/>
        <v>21624910.809999973</v>
      </c>
      <c r="H113" s="13">
        <f t="shared" si="1"/>
        <v>-1318787.7799999993</v>
      </c>
      <c r="I113" s="18" t="s">
        <v>12</v>
      </c>
    </row>
    <row r="114" spans="1:9" ht="14.25">
      <c r="A114" s="61"/>
      <c r="B114" s="11" t="s">
        <v>18</v>
      </c>
      <c r="C114" s="13">
        <v>760000</v>
      </c>
      <c r="D114" s="55"/>
      <c r="E114" s="13">
        <v>760000</v>
      </c>
      <c r="F114" s="55"/>
      <c r="G114" s="55"/>
      <c r="H114" s="13">
        <f t="shared" si="1"/>
        <v>0</v>
      </c>
      <c r="I114" s="18" t="s">
        <v>12</v>
      </c>
    </row>
    <row r="115" spans="1:9" ht="14.25">
      <c r="A115" s="61"/>
      <c r="B115" s="11" t="s">
        <v>73</v>
      </c>
      <c r="C115" s="13">
        <v>400000</v>
      </c>
      <c r="D115" s="55"/>
      <c r="E115" s="55">
        <v>21040000</v>
      </c>
      <c r="F115" s="55"/>
      <c r="G115" s="55"/>
      <c r="H115" s="56">
        <v>0</v>
      </c>
      <c r="I115" s="52" t="s">
        <v>74</v>
      </c>
    </row>
    <row r="116" spans="1:9" ht="14.25">
      <c r="A116" s="61"/>
      <c r="B116" s="11" t="s">
        <v>75</v>
      </c>
      <c r="C116" s="13">
        <v>600000</v>
      </c>
      <c r="D116" s="55"/>
      <c r="E116" s="55"/>
      <c r="F116" s="55"/>
      <c r="G116" s="55"/>
      <c r="H116" s="58"/>
      <c r="I116" s="52"/>
    </row>
    <row r="117" spans="1:9" ht="14.25">
      <c r="A117" s="61"/>
      <c r="B117" s="11" t="s">
        <v>76</v>
      </c>
      <c r="C117" s="13">
        <v>20000000</v>
      </c>
      <c r="D117" s="55"/>
      <c r="E117" s="55"/>
      <c r="F117" s="55"/>
      <c r="G117" s="55"/>
      <c r="H117" s="58"/>
      <c r="I117" s="52"/>
    </row>
    <row r="118" spans="1:9" ht="14.25">
      <c r="A118" s="61"/>
      <c r="B118" s="11" t="s">
        <v>77</v>
      </c>
      <c r="C118" s="13">
        <v>40000</v>
      </c>
      <c r="D118" s="55"/>
      <c r="E118" s="55"/>
      <c r="F118" s="55"/>
      <c r="G118" s="55"/>
      <c r="H118" s="57"/>
      <c r="I118" s="52"/>
    </row>
    <row r="119" spans="1:9" ht="14.25">
      <c r="A119" s="61"/>
      <c r="B119" s="11" t="s">
        <v>78</v>
      </c>
      <c r="C119" s="13">
        <v>940500</v>
      </c>
      <c r="D119" s="55"/>
      <c r="E119" s="13">
        <v>940500</v>
      </c>
      <c r="F119" s="55"/>
      <c r="G119" s="55"/>
      <c r="H119" s="13">
        <f t="shared" ref="H119:H154" si="3">C119-E119</f>
        <v>0</v>
      </c>
      <c r="I119" s="18" t="s">
        <v>25</v>
      </c>
    </row>
    <row r="120" spans="1:9" ht="42.75">
      <c r="A120" s="61"/>
      <c r="B120" s="21" t="s">
        <v>79</v>
      </c>
      <c r="C120" s="22">
        <v>34615500</v>
      </c>
      <c r="D120" s="55"/>
      <c r="E120" s="13">
        <f>34615500</f>
        <v>34615500</v>
      </c>
      <c r="F120" s="55"/>
      <c r="G120" s="55"/>
      <c r="H120" s="13">
        <f t="shared" si="3"/>
        <v>0</v>
      </c>
      <c r="I120" s="24" t="s">
        <v>600</v>
      </c>
    </row>
    <row r="121" spans="1:9" ht="42.75">
      <c r="A121" s="61"/>
      <c r="B121" s="21" t="s">
        <v>80</v>
      </c>
      <c r="C121" s="22">
        <v>696800</v>
      </c>
      <c r="D121" s="55"/>
      <c r="E121" s="13">
        <v>696800</v>
      </c>
      <c r="F121" s="55"/>
      <c r="G121" s="55"/>
      <c r="H121" s="13">
        <f t="shared" si="3"/>
        <v>0</v>
      </c>
      <c r="I121" s="24" t="s">
        <v>81</v>
      </c>
    </row>
    <row r="122" spans="1:9" ht="42.75">
      <c r="A122" s="61"/>
      <c r="B122" s="21" t="s">
        <v>82</v>
      </c>
      <c r="C122" s="13">
        <v>2107300</v>
      </c>
      <c r="D122" s="55"/>
      <c r="E122" s="13">
        <v>2107300</v>
      </c>
      <c r="F122" s="55"/>
      <c r="G122" s="55"/>
      <c r="H122" s="13">
        <f t="shared" si="3"/>
        <v>0</v>
      </c>
      <c r="I122" s="24" t="s">
        <v>83</v>
      </c>
    </row>
    <row r="123" spans="1:9" ht="42.75">
      <c r="A123" s="61"/>
      <c r="B123" s="23" t="s">
        <v>84</v>
      </c>
      <c r="C123" s="13">
        <f>62790000+4010000+13680000</f>
        <v>80480000</v>
      </c>
      <c r="D123" s="55"/>
      <c r="E123" s="13">
        <f>62790000+13680000</f>
        <v>76470000</v>
      </c>
      <c r="F123" s="55"/>
      <c r="G123" s="55"/>
      <c r="H123" s="13">
        <f t="shared" si="3"/>
        <v>4010000</v>
      </c>
      <c r="I123" s="24" t="s">
        <v>85</v>
      </c>
    </row>
    <row r="124" spans="1:9" ht="28.5">
      <c r="A124" s="61"/>
      <c r="B124" s="11" t="s">
        <v>86</v>
      </c>
      <c r="C124" s="13">
        <v>460000</v>
      </c>
      <c r="D124" s="55"/>
      <c r="E124" s="13">
        <v>460000</v>
      </c>
      <c r="F124" s="55"/>
      <c r="G124" s="55"/>
      <c r="H124" s="13">
        <f t="shared" si="3"/>
        <v>0</v>
      </c>
      <c r="I124" s="54" t="s">
        <v>25</v>
      </c>
    </row>
    <row r="125" spans="1:9" ht="28.5">
      <c r="A125" s="61"/>
      <c r="B125" s="11" t="s">
        <v>87</v>
      </c>
      <c r="C125" s="13">
        <v>860316.16000000003</v>
      </c>
      <c r="D125" s="55"/>
      <c r="E125" s="13"/>
      <c r="F125" s="55"/>
      <c r="G125" s="55"/>
      <c r="H125" s="13">
        <f t="shared" si="3"/>
        <v>860316.16000000003</v>
      </c>
      <c r="I125" s="54"/>
    </row>
    <row r="126" spans="1:9" ht="28.5">
      <c r="A126" s="61"/>
      <c r="B126" s="11" t="s">
        <v>88</v>
      </c>
      <c r="C126" s="13">
        <v>722568.7</v>
      </c>
      <c r="D126" s="55"/>
      <c r="E126" s="13">
        <v>722568.7</v>
      </c>
      <c r="F126" s="55"/>
      <c r="G126" s="55"/>
      <c r="H126" s="13">
        <f t="shared" si="3"/>
        <v>0</v>
      </c>
      <c r="I126" s="54"/>
    </row>
    <row r="127" spans="1:9" ht="28.5">
      <c r="A127" s="61"/>
      <c r="B127" s="11" t="s">
        <v>89</v>
      </c>
      <c r="C127" s="13">
        <v>100000</v>
      </c>
      <c r="D127" s="55"/>
      <c r="E127" s="13">
        <v>100000</v>
      </c>
      <c r="F127" s="55"/>
      <c r="G127" s="55"/>
      <c r="H127" s="13">
        <f t="shared" si="3"/>
        <v>0</v>
      </c>
      <c r="I127" s="54"/>
    </row>
    <row r="128" spans="1:9" ht="28.5">
      <c r="A128" s="61"/>
      <c r="B128" s="11" t="s">
        <v>90</v>
      </c>
      <c r="C128" s="13">
        <v>506880</v>
      </c>
      <c r="D128" s="55"/>
      <c r="E128" s="13">
        <v>506880</v>
      </c>
      <c r="F128" s="55"/>
      <c r="G128" s="55"/>
      <c r="H128" s="13">
        <f t="shared" si="3"/>
        <v>0</v>
      </c>
      <c r="I128" s="54"/>
    </row>
    <row r="129" spans="1:9" ht="28.5">
      <c r="A129" s="61"/>
      <c r="B129" s="11" t="s">
        <v>91</v>
      </c>
      <c r="C129" s="13">
        <v>247453.7</v>
      </c>
      <c r="D129" s="55"/>
      <c r="E129" s="13"/>
      <c r="F129" s="55"/>
      <c r="G129" s="55"/>
      <c r="H129" s="13">
        <f t="shared" si="3"/>
        <v>247453.7</v>
      </c>
      <c r="I129" s="54"/>
    </row>
    <row r="130" spans="1:9" ht="28.5">
      <c r="A130" s="61"/>
      <c r="B130" s="11" t="s">
        <v>92</v>
      </c>
      <c r="C130" s="13">
        <v>99100</v>
      </c>
      <c r="D130" s="55"/>
      <c r="E130" s="13">
        <v>99100</v>
      </c>
      <c r="F130" s="55"/>
      <c r="G130" s="55"/>
      <c r="H130" s="13">
        <f t="shared" si="3"/>
        <v>0</v>
      </c>
      <c r="I130" s="54"/>
    </row>
    <row r="131" spans="1:9" ht="42.75">
      <c r="A131" s="61"/>
      <c r="B131" s="21" t="s">
        <v>93</v>
      </c>
      <c r="C131" s="13">
        <v>4368600</v>
      </c>
      <c r="D131" s="55"/>
      <c r="E131" s="13">
        <v>4368600</v>
      </c>
      <c r="F131" s="55"/>
      <c r="G131" s="55"/>
      <c r="H131" s="13">
        <f t="shared" si="3"/>
        <v>0</v>
      </c>
      <c r="I131" s="24" t="s">
        <v>94</v>
      </c>
    </row>
    <row r="132" spans="1:9" ht="42.75">
      <c r="A132" s="61"/>
      <c r="B132" s="21" t="s">
        <v>95</v>
      </c>
      <c r="C132" s="13">
        <v>1120000</v>
      </c>
      <c r="D132" s="55"/>
      <c r="E132" s="13">
        <v>1120000</v>
      </c>
      <c r="F132" s="55"/>
      <c r="G132" s="55"/>
      <c r="H132" s="13">
        <f t="shared" si="3"/>
        <v>0</v>
      </c>
      <c r="I132" s="24" t="s">
        <v>96</v>
      </c>
    </row>
    <row r="133" spans="1:9" ht="28.5">
      <c r="A133" s="61"/>
      <c r="B133" s="21" t="s">
        <v>97</v>
      </c>
      <c r="C133" s="22">
        <v>1513562.6</v>
      </c>
      <c r="D133" s="55"/>
      <c r="E133" s="13">
        <v>1513562.6</v>
      </c>
      <c r="F133" s="55"/>
      <c r="G133" s="55"/>
      <c r="H133" s="13">
        <f t="shared" si="3"/>
        <v>0</v>
      </c>
      <c r="I133" s="24" t="s">
        <v>98</v>
      </c>
    </row>
    <row r="134" spans="1:9" ht="28.5">
      <c r="A134" s="61"/>
      <c r="B134" s="21" t="s">
        <v>99</v>
      </c>
      <c r="C134" s="13">
        <v>25293000</v>
      </c>
      <c r="D134" s="55"/>
      <c r="E134" s="13">
        <v>25293000</v>
      </c>
      <c r="F134" s="55"/>
      <c r="G134" s="55"/>
      <c r="H134" s="13">
        <f t="shared" si="3"/>
        <v>0</v>
      </c>
      <c r="I134" s="24" t="s">
        <v>100</v>
      </c>
    </row>
    <row r="135" spans="1:9" ht="42.75">
      <c r="A135" s="61"/>
      <c r="B135" s="21" t="s">
        <v>101</v>
      </c>
      <c r="C135" s="13">
        <v>6953229.8399999999</v>
      </c>
      <c r="D135" s="55"/>
      <c r="E135" s="13">
        <v>6953229.8399999999</v>
      </c>
      <c r="F135" s="55"/>
      <c r="G135" s="55"/>
      <c r="H135" s="13">
        <f t="shared" si="3"/>
        <v>0</v>
      </c>
      <c r="I135" s="24" t="s">
        <v>601</v>
      </c>
    </row>
    <row r="136" spans="1:9" ht="28.5">
      <c r="A136" s="61"/>
      <c r="B136" s="21" t="s">
        <v>102</v>
      </c>
      <c r="C136" s="22">
        <v>6288333.04</v>
      </c>
      <c r="D136" s="55"/>
      <c r="E136" s="13">
        <v>6288333.04</v>
      </c>
      <c r="F136" s="55"/>
      <c r="G136" s="55"/>
      <c r="H136" s="13">
        <f t="shared" si="3"/>
        <v>0</v>
      </c>
      <c r="I136" s="24" t="s">
        <v>103</v>
      </c>
    </row>
    <row r="137" spans="1:9" ht="71.25">
      <c r="A137" s="61"/>
      <c r="B137" s="21" t="s">
        <v>104</v>
      </c>
      <c r="C137" s="22">
        <v>1020600</v>
      </c>
      <c r="D137" s="55"/>
      <c r="E137" s="13">
        <v>1020600</v>
      </c>
      <c r="F137" s="55"/>
      <c r="G137" s="55"/>
      <c r="H137" s="13">
        <f t="shared" si="3"/>
        <v>0</v>
      </c>
      <c r="I137" s="24" t="s">
        <v>105</v>
      </c>
    </row>
    <row r="138" spans="1:9" ht="57">
      <c r="A138" s="61"/>
      <c r="B138" s="21" t="s">
        <v>106</v>
      </c>
      <c r="C138" s="13">
        <v>2000000</v>
      </c>
      <c r="D138" s="55"/>
      <c r="E138" s="13">
        <v>2000000</v>
      </c>
      <c r="F138" s="55"/>
      <c r="G138" s="55"/>
      <c r="H138" s="13">
        <f t="shared" si="3"/>
        <v>0</v>
      </c>
      <c r="I138" s="24" t="s">
        <v>107</v>
      </c>
    </row>
    <row r="139" spans="1:9" ht="28.5">
      <c r="A139" s="61"/>
      <c r="B139" s="21" t="s">
        <v>108</v>
      </c>
      <c r="C139" s="13">
        <v>2181600</v>
      </c>
      <c r="D139" s="55"/>
      <c r="E139" s="13"/>
      <c r="F139" s="55"/>
      <c r="G139" s="55"/>
      <c r="H139" s="13">
        <f t="shared" si="3"/>
        <v>2181600</v>
      </c>
      <c r="I139" s="24" t="s">
        <v>109</v>
      </c>
    </row>
    <row r="140" spans="1:9" ht="42.75">
      <c r="A140" s="61"/>
      <c r="B140" s="21" t="s">
        <v>110</v>
      </c>
      <c r="C140" s="13">
        <v>2429700</v>
      </c>
      <c r="D140" s="55"/>
      <c r="E140" s="13"/>
      <c r="F140" s="55"/>
      <c r="G140" s="55"/>
      <c r="H140" s="13">
        <f t="shared" si="3"/>
        <v>2429700</v>
      </c>
      <c r="I140" s="18" t="s">
        <v>111</v>
      </c>
    </row>
    <row r="141" spans="1:9" ht="14.25">
      <c r="A141" s="61"/>
      <c r="B141" s="21" t="s">
        <v>112</v>
      </c>
      <c r="C141" s="13">
        <v>610</v>
      </c>
      <c r="D141" s="55"/>
      <c r="E141" s="13"/>
      <c r="F141" s="55"/>
      <c r="G141" s="55"/>
      <c r="H141" s="13">
        <f t="shared" si="3"/>
        <v>610</v>
      </c>
      <c r="I141" s="18" t="s">
        <v>12</v>
      </c>
    </row>
    <row r="142" spans="1:9" ht="42.75">
      <c r="A142" s="61"/>
      <c r="B142" s="23" t="s">
        <v>113</v>
      </c>
      <c r="C142" s="13">
        <v>10000000</v>
      </c>
      <c r="D142" s="55"/>
      <c r="E142" s="13"/>
      <c r="F142" s="55"/>
      <c r="G142" s="55"/>
      <c r="H142" s="13">
        <f t="shared" si="3"/>
        <v>10000000</v>
      </c>
      <c r="I142" s="24" t="s">
        <v>114</v>
      </c>
    </row>
    <row r="143" spans="1:9" ht="57">
      <c r="A143" s="61"/>
      <c r="B143" s="23" t="s">
        <v>115</v>
      </c>
      <c r="C143" s="13">
        <v>910000</v>
      </c>
      <c r="D143" s="55"/>
      <c r="E143" s="13"/>
      <c r="F143" s="55"/>
      <c r="G143" s="55"/>
      <c r="H143" s="13">
        <f t="shared" si="3"/>
        <v>910000</v>
      </c>
      <c r="I143" s="24" t="s">
        <v>116</v>
      </c>
    </row>
    <row r="144" spans="1:9" ht="28.5">
      <c r="A144" s="61"/>
      <c r="B144" s="11" t="s">
        <v>117</v>
      </c>
      <c r="C144" s="12">
        <v>52000</v>
      </c>
      <c r="D144" s="55"/>
      <c r="E144" s="13"/>
      <c r="F144" s="55"/>
      <c r="G144" s="55"/>
      <c r="H144" s="13">
        <f t="shared" si="3"/>
        <v>52000</v>
      </c>
      <c r="I144" s="18" t="s">
        <v>10</v>
      </c>
    </row>
    <row r="145" spans="1:9" ht="28.5">
      <c r="A145" s="61"/>
      <c r="B145" s="11" t="s">
        <v>118</v>
      </c>
      <c r="C145" s="12">
        <v>337920</v>
      </c>
      <c r="D145" s="55"/>
      <c r="E145" s="13">
        <v>337920</v>
      </c>
      <c r="F145" s="55"/>
      <c r="G145" s="55"/>
      <c r="H145" s="13">
        <f t="shared" si="3"/>
        <v>0</v>
      </c>
      <c r="I145" s="18" t="s">
        <v>10</v>
      </c>
    </row>
    <row r="146" spans="1:9" ht="42.75">
      <c r="A146" s="61"/>
      <c r="B146" s="21" t="s">
        <v>119</v>
      </c>
      <c r="C146" s="13">
        <v>140000</v>
      </c>
      <c r="D146" s="55"/>
      <c r="E146" s="13"/>
      <c r="F146" s="55"/>
      <c r="G146" s="55"/>
      <c r="H146" s="13">
        <f t="shared" si="3"/>
        <v>140000</v>
      </c>
      <c r="I146" s="26" t="s">
        <v>120</v>
      </c>
    </row>
    <row r="147" spans="1:9" ht="15" customHeight="1">
      <c r="A147" s="61"/>
      <c r="B147" s="11" t="s">
        <v>121</v>
      </c>
      <c r="C147" s="13">
        <v>378000</v>
      </c>
      <c r="D147" s="55"/>
      <c r="E147" s="13"/>
      <c r="F147" s="55"/>
      <c r="G147" s="55"/>
      <c r="H147" s="13">
        <f t="shared" si="3"/>
        <v>378000</v>
      </c>
      <c r="I147" s="26" t="s">
        <v>122</v>
      </c>
    </row>
    <row r="148" spans="1:9" ht="28.5">
      <c r="A148" s="61"/>
      <c r="B148" s="11" t="s">
        <v>123</v>
      </c>
      <c r="C148" s="12">
        <v>378000</v>
      </c>
      <c r="D148" s="55"/>
      <c r="E148" s="13"/>
      <c r="F148" s="55"/>
      <c r="G148" s="55"/>
      <c r="H148" s="13">
        <f t="shared" si="3"/>
        <v>378000</v>
      </c>
      <c r="I148" s="18" t="s">
        <v>10</v>
      </c>
    </row>
    <row r="149" spans="1:9" ht="42.75">
      <c r="A149" s="61"/>
      <c r="B149" s="11" t="s">
        <v>124</v>
      </c>
      <c r="C149" s="12">
        <v>1328400</v>
      </c>
      <c r="D149" s="55"/>
      <c r="E149" s="13"/>
      <c r="F149" s="55"/>
      <c r="G149" s="55"/>
      <c r="H149" s="13">
        <f t="shared" si="3"/>
        <v>1328400</v>
      </c>
      <c r="I149" s="18" t="s">
        <v>10</v>
      </c>
    </row>
    <row r="150" spans="1:9" ht="14.25">
      <c r="A150" s="61"/>
      <c r="B150" s="11" t="s">
        <v>125</v>
      </c>
      <c r="C150" s="12">
        <v>911715</v>
      </c>
      <c r="D150" s="55"/>
      <c r="E150" s="13">
        <v>884096.27</v>
      </c>
      <c r="F150" s="55"/>
      <c r="G150" s="55"/>
      <c r="H150" s="13">
        <f t="shared" si="3"/>
        <v>27618.729999999981</v>
      </c>
      <c r="I150" s="18" t="s">
        <v>10</v>
      </c>
    </row>
    <row r="151" spans="1:9" ht="42.75">
      <c r="A151" s="61"/>
      <c r="B151" s="21" t="s">
        <v>126</v>
      </c>
      <c r="C151" s="13">
        <v>7600000</v>
      </c>
      <c r="D151" s="55"/>
      <c r="E151" s="13">
        <v>7600000</v>
      </c>
      <c r="F151" s="55"/>
      <c r="G151" s="55"/>
      <c r="H151" s="13">
        <f t="shared" si="3"/>
        <v>0</v>
      </c>
      <c r="I151" s="24" t="s">
        <v>127</v>
      </c>
    </row>
    <row r="152" spans="1:9" ht="14.25">
      <c r="A152" s="61"/>
      <c r="B152" s="11" t="s">
        <v>128</v>
      </c>
      <c r="C152" s="13">
        <v>2500000</v>
      </c>
      <c r="D152" s="55"/>
      <c r="E152" s="13">
        <v>2500000</v>
      </c>
      <c r="F152" s="55"/>
      <c r="G152" s="55"/>
      <c r="H152" s="13">
        <f t="shared" si="3"/>
        <v>0</v>
      </c>
      <c r="I152" s="18" t="s">
        <v>12</v>
      </c>
    </row>
    <row r="153" spans="1:9" ht="30" customHeight="1">
      <c r="A153" s="61" t="s">
        <v>129</v>
      </c>
      <c r="B153" s="11" t="s">
        <v>18</v>
      </c>
      <c r="C153" s="13">
        <v>330000</v>
      </c>
      <c r="D153" s="55">
        <f>SUBTOTAL(9,C153:C164)</f>
        <v>465481223.95999998</v>
      </c>
      <c r="E153" s="13">
        <v>330002</v>
      </c>
      <c r="F153" s="55">
        <f>SUBTOTAL(9,E153:E164)</f>
        <v>464498607.24000001</v>
      </c>
      <c r="G153" s="55">
        <f>D153-F153</f>
        <v>982616.71999996901</v>
      </c>
      <c r="H153" s="13">
        <f t="shared" si="3"/>
        <v>-2</v>
      </c>
      <c r="I153" s="18" t="s">
        <v>12</v>
      </c>
    </row>
    <row r="154" spans="1:9" ht="27.95" customHeight="1">
      <c r="A154" s="61"/>
      <c r="B154" s="11" t="s">
        <v>130</v>
      </c>
      <c r="C154" s="13">
        <v>11274600</v>
      </c>
      <c r="D154" s="55"/>
      <c r="E154" s="13">
        <v>11274600</v>
      </c>
      <c r="F154" s="55"/>
      <c r="G154" s="55"/>
      <c r="H154" s="13">
        <f t="shared" si="3"/>
        <v>0</v>
      </c>
      <c r="I154" s="18" t="s">
        <v>12</v>
      </c>
    </row>
    <row r="155" spans="1:9" ht="14.25">
      <c r="A155" s="61"/>
      <c r="B155" s="11" t="s">
        <v>131</v>
      </c>
      <c r="C155" s="13">
        <v>42328600</v>
      </c>
      <c r="D155" s="55"/>
      <c r="E155" s="55">
        <v>234560400</v>
      </c>
      <c r="F155" s="55"/>
      <c r="G155" s="55"/>
      <c r="H155" s="56">
        <f>SUBTOTAL(9,C155:C159)-E155</f>
        <v>-112851800</v>
      </c>
      <c r="I155" s="18" t="s">
        <v>12</v>
      </c>
    </row>
    <row r="156" spans="1:9" ht="14.25">
      <c r="A156" s="61"/>
      <c r="B156" s="11" t="s">
        <v>132</v>
      </c>
      <c r="C156" s="22">
        <v>13056100</v>
      </c>
      <c r="D156" s="55"/>
      <c r="E156" s="55"/>
      <c r="F156" s="55"/>
      <c r="G156" s="55"/>
      <c r="H156" s="58"/>
      <c r="I156" s="54" t="s">
        <v>133</v>
      </c>
    </row>
    <row r="157" spans="1:9" ht="28.5">
      <c r="A157" s="61"/>
      <c r="B157" s="25" t="s">
        <v>134</v>
      </c>
      <c r="C157" s="13">
        <v>2544100</v>
      </c>
      <c r="D157" s="55"/>
      <c r="E157" s="55"/>
      <c r="F157" s="55"/>
      <c r="G157" s="55"/>
      <c r="H157" s="58"/>
      <c r="I157" s="54"/>
    </row>
    <row r="158" spans="1:9" ht="28.5">
      <c r="A158" s="61"/>
      <c r="B158" s="11" t="s">
        <v>135</v>
      </c>
      <c r="C158" s="13">
        <v>51430000</v>
      </c>
      <c r="D158" s="55"/>
      <c r="E158" s="55"/>
      <c r="F158" s="55"/>
      <c r="G158" s="55"/>
      <c r="H158" s="58"/>
      <c r="I158" s="54"/>
    </row>
    <row r="159" spans="1:9" ht="28.5">
      <c r="A159" s="61"/>
      <c r="B159" s="21" t="s">
        <v>136</v>
      </c>
      <c r="C159" s="13">
        <v>12349800</v>
      </c>
      <c r="D159" s="55"/>
      <c r="E159" s="55"/>
      <c r="F159" s="55"/>
      <c r="G159" s="55"/>
      <c r="H159" s="57"/>
      <c r="I159" s="54"/>
    </row>
    <row r="160" spans="1:9" ht="57.95" customHeight="1">
      <c r="A160" s="61"/>
      <c r="B160" s="11" t="s">
        <v>137</v>
      </c>
      <c r="C160" s="13">
        <f>282485300+1192123.96+6874200+18105350+92350</f>
        <v>308749323.95999998</v>
      </c>
      <c r="D160" s="55"/>
      <c r="E160" s="13">
        <v>194914905.24000001</v>
      </c>
      <c r="F160" s="55"/>
      <c r="G160" s="55"/>
      <c r="H160" s="13">
        <f t="shared" ref="H160:H223" si="4">C160-E160</f>
        <v>113834418.71999997</v>
      </c>
      <c r="I160" s="18" t="s">
        <v>138</v>
      </c>
    </row>
    <row r="161" spans="1:9" ht="33" customHeight="1">
      <c r="A161" s="61"/>
      <c r="B161" s="11" t="s">
        <v>139</v>
      </c>
      <c r="C161" s="13">
        <v>712800</v>
      </c>
      <c r="D161" s="55"/>
      <c r="E161" s="13">
        <v>712800</v>
      </c>
      <c r="F161" s="55"/>
      <c r="G161" s="55"/>
      <c r="H161" s="13">
        <f t="shared" si="4"/>
        <v>0</v>
      </c>
      <c r="I161" s="18" t="s">
        <v>25</v>
      </c>
    </row>
    <row r="162" spans="1:9" ht="71.25">
      <c r="A162" s="61"/>
      <c r="B162" s="21" t="s">
        <v>104</v>
      </c>
      <c r="C162" s="22">
        <v>1117800</v>
      </c>
      <c r="D162" s="55"/>
      <c r="E162" s="13">
        <v>1117800</v>
      </c>
      <c r="F162" s="55"/>
      <c r="G162" s="55"/>
      <c r="H162" s="13">
        <f t="shared" si="4"/>
        <v>0</v>
      </c>
      <c r="I162" s="24" t="s">
        <v>105</v>
      </c>
    </row>
    <row r="163" spans="1:9" ht="42.75">
      <c r="A163" s="61"/>
      <c r="B163" s="23" t="s">
        <v>140</v>
      </c>
      <c r="C163" s="13">
        <v>20000000</v>
      </c>
      <c r="D163" s="55"/>
      <c r="E163" s="13">
        <v>20000000</v>
      </c>
      <c r="F163" s="55"/>
      <c r="G163" s="55"/>
      <c r="H163" s="13">
        <f t="shared" si="4"/>
        <v>0</v>
      </c>
      <c r="I163" s="24" t="s">
        <v>141</v>
      </c>
    </row>
    <row r="164" spans="1:9" ht="42.75">
      <c r="A164" s="61"/>
      <c r="B164" s="25" t="s">
        <v>142</v>
      </c>
      <c r="C164" s="13">
        <v>1588100</v>
      </c>
      <c r="D164" s="55"/>
      <c r="E164" s="13">
        <v>1588100</v>
      </c>
      <c r="F164" s="55"/>
      <c r="G164" s="55"/>
      <c r="H164" s="13">
        <f t="shared" si="4"/>
        <v>0</v>
      </c>
      <c r="I164" s="24" t="s">
        <v>143</v>
      </c>
    </row>
    <row r="165" spans="1:9" ht="14.25">
      <c r="A165" s="61" t="s">
        <v>144</v>
      </c>
      <c r="B165" s="11" t="s">
        <v>13</v>
      </c>
      <c r="C165" s="13">
        <v>9211902.6300000008</v>
      </c>
      <c r="D165" s="55">
        <f>SUBTOTAL(9,C165:C175)</f>
        <v>15429200.190000001</v>
      </c>
      <c r="E165" s="13">
        <v>9137514</v>
      </c>
      <c r="F165" s="55">
        <f>SUBTOTAL(9,E165:E175)</f>
        <v>14008111.560000001</v>
      </c>
      <c r="G165" s="55">
        <f>D165-F165</f>
        <v>1421088.6300000008</v>
      </c>
      <c r="H165" s="13">
        <f t="shared" si="4"/>
        <v>74388.63000000082</v>
      </c>
      <c r="I165" s="18" t="s">
        <v>12</v>
      </c>
    </row>
    <row r="166" spans="1:9" ht="14.25">
      <c r="A166" s="61"/>
      <c r="B166" s="11" t="s">
        <v>18</v>
      </c>
      <c r="C166" s="13">
        <v>890000</v>
      </c>
      <c r="D166" s="55"/>
      <c r="E166" s="13">
        <v>890000</v>
      </c>
      <c r="F166" s="55"/>
      <c r="G166" s="55"/>
      <c r="H166" s="13">
        <f t="shared" si="4"/>
        <v>0</v>
      </c>
      <c r="I166" s="18" t="s">
        <v>12</v>
      </c>
    </row>
    <row r="167" spans="1:9" ht="28.5">
      <c r="A167" s="61"/>
      <c r="B167" s="11" t="s">
        <v>145</v>
      </c>
      <c r="C167" s="13">
        <v>259897</v>
      </c>
      <c r="D167" s="55"/>
      <c r="E167" s="13">
        <v>259897</v>
      </c>
      <c r="F167" s="55"/>
      <c r="G167" s="55"/>
      <c r="H167" s="13">
        <f t="shared" si="4"/>
        <v>0</v>
      </c>
      <c r="I167" s="18" t="s">
        <v>146</v>
      </c>
    </row>
    <row r="168" spans="1:9" ht="28.5">
      <c r="A168" s="61"/>
      <c r="B168" s="11" t="s">
        <v>147</v>
      </c>
      <c r="C168" s="13">
        <v>700000</v>
      </c>
      <c r="D168" s="55"/>
      <c r="E168" s="13">
        <v>700000</v>
      </c>
      <c r="F168" s="55"/>
      <c r="G168" s="55"/>
      <c r="H168" s="13">
        <f t="shared" si="4"/>
        <v>0</v>
      </c>
      <c r="I168" s="18" t="s">
        <v>12</v>
      </c>
    </row>
    <row r="169" spans="1:9" ht="14.25">
      <c r="A169" s="61"/>
      <c r="B169" s="11" t="s">
        <v>148</v>
      </c>
      <c r="C169" s="13">
        <v>500500.56</v>
      </c>
      <c r="D169" s="55"/>
      <c r="E169" s="13">
        <v>500500.56</v>
      </c>
      <c r="F169" s="55"/>
      <c r="G169" s="55"/>
      <c r="H169" s="13">
        <f t="shared" si="4"/>
        <v>0</v>
      </c>
      <c r="I169" s="18" t="s">
        <v>12</v>
      </c>
    </row>
    <row r="170" spans="1:9" ht="57">
      <c r="A170" s="61"/>
      <c r="B170" s="11" t="s">
        <v>149</v>
      </c>
      <c r="C170" s="13">
        <v>500000</v>
      </c>
      <c r="D170" s="55"/>
      <c r="E170" s="13"/>
      <c r="F170" s="55"/>
      <c r="G170" s="55"/>
      <c r="H170" s="13">
        <f t="shared" si="4"/>
        <v>500000</v>
      </c>
      <c r="I170" s="18" t="s">
        <v>150</v>
      </c>
    </row>
    <row r="171" spans="1:9" ht="42.75">
      <c r="A171" s="61"/>
      <c r="B171" s="11" t="s">
        <v>151</v>
      </c>
      <c r="C171" s="13">
        <v>600000</v>
      </c>
      <c r="D171" s="55"/>
      <c r="E171" s="13">
        <v>600000</v>
      </c>
      <c r="F171" s="55"/>
      <c r="G171" s="55"/>
      <c r="H171" s="13">
        <f t="shared" si="4"/>
        <v>0</v>
      </c>
      <c r="I171" s="18" t="s">
        <v>152</v>
      </c>
    </row>
    <row r="172" spans="1:9" ht="14.25">
      <c r="A172" s="61"/>
      <c r="B172" s="11" t="s">
        <v>153</v>
      </c>
      <c r="C172" s="12">
        <v>1360000</v>
      </c>
      <c r="D172" s="55"/>
      <c r="E172" s="13">
        <v>1360000</v>
      </c>
      <c r="F172" s="55"/>
      <c r="G172" s="55"/>
      <c r="H172" s="13">
        <f t="shared" si="4"/>
        <v>0</v>
      </c>
      <c r="I172" s="27" t="s">
        <v>10</v>
      </c>
    </row>
    <row r="173" spans="1:9" ht="28.5">
      <c r="A173" s="61"/>
      <c r="B173" s="11" t="s">
        <v>154</v>
      </c>
      <c r="C173" s="14">
        <v>846700</v>
      </c>
      <c r="D173" s="55"/>
      <c r="E173" s="13"/>
      <c r="F173" s="55"/>
      <c r="G173" s="55"/>
      <c r="H173" s="13">
        <f t="shared" si="4"/>
        <v>846700</v>
      </c>
      <c r="I173" s="27" t="s">
        <v>10</v>
      </c>
    </row>
    <row r="174" spans="1:9" ht="28.5">
      <c r="A174" s="61"/>
      <c r="B174" s="11" t="s">
        <v>155</v>
      </c>
      <c r="C174" s="12">
        <v>248200</v>
      </c>
      <c r="D174" s="55"/>
      <c r="E174" s="13">
        <v>248200</v>
      </c>
      <c r="F174" s="55"/>
      <c r="G174" s="55"/>
      <c r="H174" s="13">
        <f t="shared" si="4"/>
        <v>0</v>
      </c>
      <c r="I174" s="27" t="s">
        <v>10</v>
      </c>
    </row>
    <row r="175" spans="1:9" ht="28.5">
      <c r="A175" s="61"/>
      <c r="B175" s="11" t="s">
        <v>156</v>
      </c>
      <c r="C175" s="13">
        <v>312000</v>
      </c>
      <c r="D175" s="55"/>
      <c r="E175" s="13">
        <v>312000</v>
      </c>
      <c r="F175" s="55"/>
      <c r="G175" s="55"/>
      <c r="H175" s="13">
        <f t="shared" si="4"/>
        <v>0</v>
      </c>
      <c r="I175" s="18" t="s">
        <v>12</v>
      </c>
    </row>
    <row r="176" spans="1:9" ht="14.25">
      <c r="A176" s="61"/>
      <c r="B176" s="11" t="s">
        <v>157</v>
      </c>
      <c r="C176" s="12">
        <v>350000</v>
      </c>
      <c r="D176" s="55"/>
      <c r="E176" s="13">
        <v>350000</v>
      </c>
      <c r="F176" s="55"/>
      <c r="G176" s="55"/>
      <c r="H176" s="13">
        <f t="shared" si="4"/>
        <v>0</v>
      </c>
      <c r="I176" s="27" t="s">
        <v>10</v>
      </c>
    </row>
    <row r="177" spans="1:9" ht="18.95" customHeight="1">
      <c r="A177" s="61" t="s">
        <v>158</v>
      </c>
      <c r="B177" s="11" t="s">
        <v>159</v>
      </c>
      <c r="C177" s="13">
        <v>62600</v>
      </c>
      <c r="D177" s="55">
        <f>SUBTOTAL(9,C177:C184)</f>
        <v>4555921.6500000004</v>
      </c>
      <c r="E177" s="13">
        <v>62600</v>
      </c>
      <c r="F177" s="55">
        <f>SUBTOTAL(9,E177:E184)</f>
        <v>4634231.25</v>
      </c>
      <c r="G177" s="55">
        <f>D177-F177</f>
        <v>-78309.599999999627</v>
      </c>
      <c r="H177" s="13">
        <f t="shared" si="4"/>
        <v>0</v>
      </c>
      <c r="I177" s="18" t="s">
        <v>12</v>
      </c>
    </row>
    <row r="178" spans="1:9" ht="14.25">
      <c r="A178" s="61"/>
      <c r="B178" s="11" t="s">
        <v>160</v>
      </c>
      <c r="C178" s="12">
        <v>50000</v>
      </c>
      <c r="D178" s="55"/>
      <c r="E178" s="13">
        <v>20000</v>
      </c>
      <c r="F178" s="55"/>
      <c r="G178" s="55"/>
      <c r="H178" s="13">
        <f t="shared" si="4"/>
        <v>30000</v>
      </c>
      <c r="I178" s="18" t="s">
        <v>10</v>
      </c>
    </row>
    <row r="179" spans="1:9" ht="14.25">
      <c r="A179" s="61"/>
      <c r="B179" s="11" t="s">
        <v>161</v>
      </c>
      <c r="C179" s="12">
        <v>161000</v>
      </c>
      <c r="D179" s="55"/>
      <c r="E179" s="13">
        <v>211000</v>
      </c>
      <c r="F179" s="55"/>
      <c r="G179" s="55"/>
      <c r="H179" s="13">
        <f t="shared" si="4"/>
        <v>-50000</v>
      </c>
      <c r="I179" s="18" t="s">
        <v>10</v>
      </c>
    </row>
    <row r="180" spans="1:9" ht="14.25">
      <c r="A180" s="61"/>
      <c r="B180" s="11" t="s">
        <v>162</v>
      </c>
      <c r="C180" s="12">
        <v>30000</v>
      </c>
      <c r="D180" s="55"/>
      <c r="E180" s="13">
        <v>10000</v>
      </c>
      <c r="F180" s="55"/>
      <c r="G180" s="55"/>
      <c r="H180" s="13">
        <f t="shared" si="4"/>
        <v>20000</v>
      </c>
      <c r="I180" s="18" t="s">
        <v>10</v>
      </c>
    </row>
    <row r="181" spans="1:9" ht="14.25">
      <c r="A181" s="61"/>
      <c r="B181" s="11" t="s">
        <v>163</v>
      </c>
      <c r="C181" s="13">
        <v>80500</v>
      </c>
      <c r="D181" s="55"/>
      <c r="E181" s="13">
        <v>80500</v>
      </c>
      <c r="F181" s="55"/>
      <c r="G181" s="55"/>
      <c r="H181" s="13">
        <f t="shared" si="4"/>
        <v>0</v>
      </c>
      <c r="I181" s="18" t="s">
        <v>12</v>
      </c>
    </row>
    <row r="182" spans="1:9" ht="14.25">
      <c r="A182" s="61"/>
      <c r="B182" s="11" t="s">
        <v>13</v>
      </c>
      <c r="C182" s="13">
        <v>2821820.65</v>
      </c>
      <c r="D182" s="55"/>
      <c r="E182" s="13">
        <v>3212630.25</v>
      </c>
      <c r="F182" s="55"/>
      <c r="G182" s="55"/>
      <c r="H182" s="13">
        <f t="shared" si="4"/>
        <v>-390809.60000000009</v>
      </c>
      <c r="I182" s="18" t="s">
        <v>12</v>
      </c>
    </row>
    <row r="183" spans="1:9" ht="14.25">
      <c r="A183" s="61"/>
      <c r="B183" s="11" t="s">
        <v>18</v>
      </c>
      <c r="C183" s="13">
        <v>336401</v>
      </c>
      <c r="D183" s="55"/>
      <c r="E183" s="13">
        <v>336401</v>
      </c>
      <c r="F183" s="55"/>
      <c r="G183" s="55"/>
      <c r="H183" s="13">
        <f t="shared" si="4"/>
        <v>0</v>
      </c>
      <c r="I183" s="18" t="s">
        <v>12</v>
      </c>
    </row>
    <row r="184" spans="1:9" ht="14.25">
      <c r="A184" s="61"/>
      <c r="B184" s="11" t="s">
        <v>164</v>
      </c>
      <c r="C184" s="13">
        <f>701100+312500</f>
        <v>1013600</v>
      </c>
      <c r="D184" s="55"/>
      <c r="E184" s="13">
        <v>701100</v>
      </c>
      <c r="F184" s="55"/>
      <c r="G184" s="55"/>
      <c r="H184" s="13">
        <f t="shared" si="4"/>
        <v>312500</v>
      </c>
      <c r="I184" s="18" t="s">
        <v>165</v>
      </c>
    </row>
    <row r="185" spans="1:9" ht="14.25">
      <c r="A185" s="61" t="s">
        <v>166</v>
      </c>
      <c r="B185" s="11" t="s">
        <v>13</v>
      </c>
      <c r="C185" s="13">
        <f>82328293.66</f>
        <v>82328293.659999996</v>
      </c>
      <c r="D185" s="55">
        <f>SUBTOTAL(9,C185:C194)</f>
        <v>115486335.20999999</v>
      </c>
      <c r="E185" s="13">
        <f>97141011.31-853800</f>
        <v>96287211.310000002</v>
      </c>
      <c r="F185" s="55">
        <f>SUBTOTAL(9,E185:E194)</f>
        <v>124104956.31</v>
      </c>
      <c r="G185" s="55">
        <f>D185-F185</f>
        <v>-8618621.1000000089</v>
      </c>
      <c r="H185" s="13">
        <f t="shared" si="4"/>
        <v>-13958917.650000006</v>
      </c>
      <c r="I185" s="18" t="s">
        <v>12</v>
      </c>
    </row>
    <row r="186" spans="1:9" ht="14.25">
      <c r="A186" s="61"/>
      <c r="B186" s="11" t="s">
        <v>18</v>
      </c>
      <c r="C186" s="13">
        <v>12355485</v>
      </c>
      <c r="D186" s="55"/>
      <c r="E186" s="13">
        <v>12355485</v>
      </c>
      <c r="F186" s="55"/>
      <c r="G186" s="55"/>
      <c r="H186" s="13">
        <f t="shared" si="4"/>
        <v>0</v>
      </c>
      <c r="I186" s="18" t="s">
        <v>12</v>
      </c>
    </row>
    <row r="187" spans="1:9" ht="14.25">
      <c r="A187" s="61"/>
      <c r="B187" s="11" t="s">
        <v>167</v>
      </c>
      <c r="C187" s="13">
        <v>853800</v>
      </c>
      <c r="D187" s="55"/>
      <c r="E187" s="13">
        <v>853800</v>
      </c>
      <c r="F187" s="55"/>
      <c r="G187" s="55"/>
      <c r="H187" s="13">
        <f t="shared" si="4"/>
        <v>0</v>
      </c>
      <c r="I187" s="18" t="s">
        <v>12</v>
      </c>
    </row>
    <row r="188" spans="1:9" ht="28.5">
      <c r="A188" s="61"/>
      <c r="B188" s="11" t="s">
        <v>168</v>
      </c>
      <c r="C188" s="13">
        <v>815440</v>
      </c>
      <c r="D188" s="55"/>
      <c r="E188" s="13"/>
      <c r="F188" s="55"/>
      <c r="G188" s="55"/>
      <c r="H188" s="13">
        <f t="shared" si="4"/>
        <v>815440</v>
      </c>
      <c r="I188" s="52" t="s">
        <v>25</v>
      </c>
    </row>
    <row r="189" spans="1:9" ht="28.5">
      <c r="A189" s="61"/>
      <c r="B189" s="11" t="s">
        <v>169</v>
      </c>
      <c r="C189" s="13">
        <v>55616.55</v>
      </c>
      <c r="D189" s="55"/>
      <c r="E189" s="13"/>
      <c r="F189" s="55"/>
      <c r="G189" s="55"/>
      <c r="H189" s="13">
        <f t="shared" si="4"/>
        <v>55616.55</v>
      </c>
      <c r="I189" s="52"/>
    </row>
    <row r="190" spans="1:9" ht="14.25">
      <c r="A190" s="61"/>
      <c r="B190" s="11" t="s">
        <v>170</v>
      </c>
      <c r="C190" s="13">
        <v>5958900</v>
      </c>
      <c r="D190" s="55"/>
      <c r="E190" s="13">
        <v>5958900</v>
      </c>
      <c r="F190" s="55"/>
      <c r="G190" s="55"/>
      <c r="H190" s="13">
        <f t="shared" si="4"/>
        <v>0</v>
      </c>
      <c r="I190" s="18" t="s">
        <v>12</v>
      </c>
    </row>
    <row r="191" spans="1:9" ht="14.25">
      <c r="A191" s="61"/>
      <c r="B191" s="11" t="s">
        <v>171</v>
      </c>
      <c r="C191" s="12">
        <v>3177000</v>
      </c>
      <c r="D191" s="55"/>
      <c r="E191" s="13"/>
      <c r="F191" s="55"/>
      <c r="G191" s="55"/>
      <c r="H191" s="13">
        <f t="shared" si="4"/>
        <v>3177000</v>
      </c>
      <c r="I191" s="18" t="s">
        <v>10</v>
      </c>
    </row>
    <row r="192" spans="1:9" ht="14.25">
      <c r="A192" s="61"/>
      <c r="B192" s="11" t="s">
        <v>172</v>
      </c>
      <c r="C192" s="12">
        <v>665500</v>
      </c>
      <c r="D192" s="55"/>
      <c r="E192" s="13">
        <v>615560</v>
      </c>
      <c r="F192" s="55"/>
      <c r="G192" s="55"/>
      <c r="H192" s="13">
        <f t="shared" si="4"/>
        <v>49940</v>
      </c>
      <c r="I192" s="18" t="s">
        <v>10</v>
      </c>
    </row>
    <row r="193" spans="1:9" ht="14.25">
      <c r="A193" s="61"/>
      <c r="B193" s="11" t="s">
        <v>173</v>
      </c>
      <c r="C193" s="13">
        <v>100000</v>
      </c>
      <c r="D193" s="55"/>
      <c r="E193" s="13"/>
      <c r="F193" s="55"/>
      <c r="G193" s="55"/>
      <c r="H193" s="13">
        <f t="shared" si="4"/>
        <v>100000</v>
      </c>
      <c r="I193" s="18" t="s">
        <v>12</v>
      </c>
    </row>
    <row r="194" spans="1:9" ht="14.25">
      <c r="A194" s="61"/>
      <c r="B194" s="11" t="s">
        <v>164</v>
      </c>
      <c r="C194" s="13">
        <f>8034000+1142300</f>
        <v>9176300</v>
      </c>
      <c r="D194" s="55"/>
      <c r="E194" s="13">
        <v>8034000</v>
      </c>
      <c r="F194" s="55"/>
      <c r="G194" s="55"/>
      <c r="H194" s="13">
        <f t="shared" si="4"/>
        <v>1142300</v>
      </c>
      <c r="I194" s="24" t="s">
        <v>174</v>
      </c>
    </row>
    <row r="195" spans="1:9" ht="28.5">
      <c r="A195" s="61" t="s">
        <v>175</v>
      </c>
      <c r="B195" s="11" t="s">
        <v>176</v>
      </c>
      <c r="C195" s="12">
        <v>455538.86</v>
      </c>
      <c r="D195" s="55">
        <f>SUBTOTAL(9,C196:C199)</f>
        <v>6474312.8100000005</v>
      </c>
      <c r="E195" s="13">
        <v>556347.14</v>
      </c>
      <c r="F195" s="55">
        <f>SUBTOTAL(9,E196:E199)</f>
        <v>6983809.8200000003</v>
      </c>
      <c r="G195" s="55">
        <f>D195-F195</f>
        <v>-509497.00999999978</v>
      </c>
      <c r="H195" s="13">
        <f t="shared" si="4"/>
        <v>-100808.28000000003</v>
      </c>
      <c r="I195" s="18" t="s">
        <v>10</v>
      </c>
    </row>
    <row r="196" spans="1:9" ht="28.5">
      <c r="A196" s="61"/>
      <c r="B196" s="11" t="s">
        <v>177</v>
      </c>
      <c r="C196" s="13">
        <v>87326.82</v>
      </c>
      <c r="D196" s="55"/>
      <c r="E196" s="13">
        <v>87326.82</v>
      </c>
      <c r="F196" s="55"/>
      <c r="G196" s="55"/>
      <c r="H196" s="13">
        <f t="shared" si="4"/>
        <v>0</v>
      </c>
      <c r="I196" s="18" t="s">
        <v>12</v>
      </c>
    </row>
    <row r="197" spans="1:9" ht="14.25">
      <c r="A197" s="61"/>
      <c r="B197" s="11" t="s">
        <v>13</v>
      </c>
      <c r="C197" s="13">
        <f>3533835.99+42400</f>
        <v>3576235.99</v>
      </c>
      <c r="D197" s="55"/>
      <c r="E197" s="13">
        <v>4185733</v>
      </c>
      <c r="F197" s="55"/>
      <c r="G197" s="55"/>
      <c r="H197" s="13">
        <f t="shared" si="4"/>
        <v>-609497.00999999978</v>
      </c>
      <c r="I197" s="18" t="s">
        <v>178</v>
      </c>
    </row>
    <row r="198" spans="1:9" ht="14.25">
      <c r="A198" s="61"/>
      <c r="B198" s="11" t="s">
        <v>18</v>
      </c>
      <c r="C198" s="13">
        <v>425850</v>
      </c>
      <c r="D198" s="55"/>
      <c r="E198" s="13">
        <v>425850</v>
      </c>
      <c r="F198" s="55"/>
      <c r="G198" s="55"/>
      <c r="H198" s="13">
        <f t="shared" si="4"/>
        <v>0</v>
      </c>
      <c r="I198" s="18" t="s">
        <v>12</v>
      </c>
    </row>
    <row r="199" spans="1:9" ht="28.5">
      <c r="A199" s="61"/>
      <c r="B199" s="11" t="s">
        <v>164</v>
      </c>
      <c r="C199" s="13">
        <f>2284900+100000</f>
        <v>2384900</v>
      </c>
      <c r="D199" s="55"/>
      <c r="E199" s="13">
        <v>2284900</v>
      </c>
      <c r="F199" s="55"/>
      <c r="G199" s="55"/>
      <c r="H199" s="13">
        <f t="shared" si="4"/>
        <v>100000</v>
      </c>
      <c r="I199" s="18" t="s">
        <v>179</v>
      </c>
    </row>
    <row r="200" spans="1:9" ht="14.25">
      <c r="A200" s="61" t="s">
        <v>180</v>
      </c>
      <c r="B200" s="11" t="s">
        <v>181</v>
      </c>
      <c r="C200" s="12">
        <v>237420</v>
      </c>
      <c r="D200" s="55">
        <f>SUBTOTAL(9,C201:C204)</f>
        <v>9127329.120000001</v>
      </c>
      <c r="E200" s="13">
        <v>237420</v>
      </c>
      <c r="F200" s="55">
        <f>SUBTOTAL(9,E201:E204)</f>
        <v>7229924.5199999996</v>
      </c>
      <c r="G200" s="55">
        <f>D200-F200</f>
        <v>1897404.6000000015</v>
      </c>
      <c r="H200" s="13">
        <f t="shared" si="4"/>
        <v>0</v>
      </c>
      <c r="I200" s="18" t="s">
        <v>10</v>
      </c>
    </row>
    <row r="201" spans="1:9" ht="14.25">
      <c r="A201" s="61"/>
      <c r="B201" s="11" t="s">
        <v>182</v>
      </c>
      <c r="C201" s="13">
        <v>52300</v>
      </c>
      <c r="D201" s="55"/>
      <c r="E201" s="13"/>
      <c r="F201" s="55"/>
      <c r="G201" s="55"/>
      <c r="H201" s="13">
        <f t="shared" si="4"/>
        <v>52300</v>
      </c>
      <c r="I201" s="18" t="s">
        <v>12</v>
      </c>
    </row>
    <row r="202" spans="1:9" ht="14.25">
      <c r="A202" s="61"/>
      <c r="B202" s="11" t="s">
        <v>13</v>
      </c>
      <c r="C202" s="13">
        <f>4907102.12+42400</f>
        <v>4949502.12</v>
      </c>
      <c r="D202" s="55"/>
      <c r="E202" s="13">
        <v>6531897.5199999996</v>
      </c>
      <c r="F202" s="55"/>
      <c r="G202" s="55"/>
      <c r="H202" s="13">
        <f t="shared" si="4"/>
        <v>-1582395.3999999994</v>
      </c>
      <c r="I202" s="18" t="s">
        <v>178</v>
      </c>
    </row>
    <row r="203" spans="1:9" ht="14.25">
      <c r="A203" s="61"/>
      <c r="B203" s="11" t="s">
        <v>18</v>
      </c>
      <c r="C203" s="13">
        <v>698027</v>
      </c>
      <c r="D203" s="55"/>
      <c r="E203" s="13">
        <v>698027</v>
      </c>
      <c r="F203" s="55"/>
      <c r="G203" s="55"/>
      <c r="H203" s="13">
        <f t="shared" si="4"/>
        <v>0</v>
      </c>
      <c r="I203" s="18" t="s">
        <v>12</v>
      </c>
    </row>
    <row r="204" spans="1:9" ht="28.5">
      <c r="A204" s="61"/>
      <c r="B204" s="11" t="s">
        <v>164</v>
      </c>
      <c r="C204" s="13">
        <f>2004600+1422900</f>
        <v>3427500</v>
      </c>
      <c r="D204" s="55"/>
      <c r="E204" s="13"/>
      <c r="F204" s="55"/>
      <c r="G204" s="55"/>
      <c r="H204" s="13">
        <f t="shared" si="4"/>
        <v>3427500</v>
      </c>
      <c r="I204" s="18" t="s">
        <v>183</v>
      </c>
    </row>
    <row r="205" spans="1:9" ht="14.25">
      <c r="A205" s="61" t="s">
        <v>184</v>
      </c>
      <c r="B205" s="11" t="s">
        <v>185</v>
      </c>
      <c r="C205" s="13">
        <f>4608600+1000000-1000000</f>
        <v>4608600</v>
      </c>
      <c r="D205" s="55">
        <f>SUBTOTAL(9,C205:C222)</f>
        <v>33529907.010000002</v>
      </c>
      <c r="E205" s="13">
        <v>3608600</v>
      </c>
      <c r="F205" s="55">
        <f>SUBTOTAL(9,E205:E222)</f>
        <v>23646149.850000001</v>
      </c>
      <c r="G205" s="55">
        <f>D205-F205</f>
        <v>9883757.1600000001</v>
      </c>
      <c r="H205" s="13">
        <f t="shared" si="4"/>
        <v>1000000</v>
      </c>
      <c r="I205" s="24" t="s">
        <v>186</v>
      </c>
    </row>
    <row r="206" spans="1:9" ht="14.25">
      <c r="A206" s="61"/>
      <c r="B206" s="11" t="s">
        <v>187</v>
      </c>
      <c r="C206" s="12">
        <v>1000000</v>
      </c>
      <c r="D206" s="55"/>
      <c r="E206" s="13">
        <v>1000000</v>
      </c>
      <c r="F206" s="55"/>
      <c r="G206" s="55"/>
      <c r="H206" s="13">
        <f t="shared" si="4"/>
        <v>0</v>
      </c>
      <c r="I206" s="24" t="s">
        <v>10</v>
      </c>
    </row>
    <row r="207" spans="1:9" ht="14.25">
      <c r="A207" s="61"/>
      <c r="B207" s="11" t="s">
        <v>188</v>
      </c>
      <c r="C207" s="12">
        <v>50000</v>
      </c>
      <c r="D207" s="55"/>
      <c r="E207" s="13"/>
      <c r="F207" s="55"/>
      <c r="G207" s="55"/>
      <c r="H207" s="13">
        <f t="shared" si="4"/>
        <v>50000</v>
      </c>
      <c r="I207" s="18" t="s">
        <v>10</v>
      </c>
    </row>
    <row r="208" spans="1:9" ht="14.25">
      <c r="A208" s="61"/>
      <c r="B208" s="11" t="s">
        <v>189</v>
      </c>
      <c r="C208" s="12">
        <v>4872622.68</v>
      </c>
      <c r="D208" s="55"/>
      <c r="E208" s="13"/>
      <c r="F208" s="55"/>
      <c r="G208" s="55"/>
      <c r="H208" s="13">
        <f t="shared" si="4"/>
        <v>4872622.68</v>
      </c>
      <c r="I208" s="18" t="s">
        <v>10</v>
      </c>
    </row>
    <row r="209" spans="1:9" ht="28.5">
      <c r="A209" s="61"/>
      <c r="B209" s="11" t="s">
        <v>190</v>
      </c>
      <c r="C209" s="13">
        <f>584257.32+8681400</f>
        <v>9265657.3200000003</v>
      </c>
      <c r="D209" s="55"/>
      <c r="E209" s="13">
        <f>584257.32+12290000-3608600</f>
        <v>9265657.3200000003</v>
      </c>
      <c r="F209" s="55"/>
      <c r="G209" s="55"/>
      <c r="H209" s="13">
        <f t="shared" si="4"/>
        <v>0</v>
      </c>
      <c r="I209" s="18" t="s">
        <v>191</v>
      </c>
    </row>
    <row r="210" spans="1:9" ht="42.75">
      <c r="A210" s="61"/>
      <c r="B210" s="21" t="s">
        <v>192</v>
      </c>
      <c r="C210" s="13">
        <f>760600+330720</f>
        <v>1091320</v>
      </c>
      <c r="D210" s="55"/>
      <c r="E210" s="13">
        <f>914977.32-584257.32</f>
        <v>330720</v>
      </c>
      <c r="F210" s="55"/>
      <c r="G210" s="55"/>
      <c r="H210" s="13">
        <f t="shared" si="4"/>
        <v>760600</v>
      </c>
      <c r="I210" s="31" t="s">
        <v>193</v>
      </c>
    </row>
    <row r="211" spans="1:9" ht="14.25">
      <c r="A211" s="61"/>
      <c r="B211" s="11" t="s">
        <v>13</v>
      </c>
      <c r="C211" s="13">
        <v>2342539.41</v>
      </c>
      <c r="D211" s="55"/>
      <c r="E211" s="13">
        <v>2541322.5299999998</v>
      </c>
      <c r="F211" s="55"/>
      <c r="G211" s="55"/>
      <c r="H211" s="13">
        <f t="shared" si="4"/>
        <v>-198783.11999999965</v>
      </c>
      <c r="I211" s="18" t="s">
        <v>12</v>
      </c>
    </row>
    <row r="212" spans="1:9" ht="14.25">
      <c r="A212" s="61"/>
      <c r="B212" s="11" t="s">
        <v>18</v>
      </c>
      <c r="C212" s="13">
        <v>290000</v>
      </c>
      <c r="D212" s="55"/>
      <c r="E212" s="13">
        <v>290000</v>
      </c>
      <c r="F212" s="55"/>
      <c r="G212" s="55"/>
      <c r="H212" s="13">
        <f t="shared" si="4"/>
        <v>0</v>
      </c>
      <c r="I212" s="18" t="s">
        <v>12</v>
      </c>
    </row>
    <row r="213" spans="1:9" ht="28.5">
      <c r="A213" s="61"/>
      <c r="B213" s="11" t="s">
        <v>194</v>
      </c>
      <c r="C213" s="13">
        <v>837000</v>
      </c>
      <c r="D213" s="55"/>
      <c r="E213" s="13"/>
      <c r="F213" s="55"/>
      <c r="G213" s="55"/>
      <c r="H213" s="13">
        <f t="shared" si="4"/>
        <v>837000</v>
      </c>
      <c r="I213" s="18" t="s">
        <v>602</v>
      </c>
    </row>
    <row r="214" spans="1:9" ht="14.25">
      <c r="A214" s="61"/>
      <c r="B214" s="11" t="s">
        <v>196</v>
      </c>
      <c r="C214" s="13">
        <v>250000</v>
      </c>
      <c r="D214" s="55"/>
      <c r="E214" s="13"/>
      <c r="F214" s="55"/>
      <c r="G214" s="55"/>
      <c r="H214" s="13">
        <f t="shared" si="4"/>
        <v>250000</v>
      </c>
      <c r="I214" s="18" t="s">
        <v>195</v>
      </c>
    </row>
    <row r="215" spans="1:9" ht="71.25">
      <c r="A215" s="61"/>
      <c r="B215" s="28" t="s">
        <v>104</v>
      </c>
      <c r="C215" s="13">
        <v>1020600</v>
      </c>
      <c r="D215" s="55"/>
      <c r="E215" s="13"/>
      <c r="F215" s="55"/>
      <c r="G215" s="55"/>
      <c r="H215" s="13">
        <f t="shared" si="4"/>
        <v>1020600</v>
      </c>
      <c r="I215" s="24" t="s">
        <v>105</v>
      </c>
    </row>
    <row r="216" spans="1:9" ht="14.25">
      <c r="A216" s="61"/>
      <c r="B216" s="11" t="s">
        <v>197</v>
      </c>
      <c r="C216" s="12">
        <v>1053897.6000000001</v>
      </c>
      <c r="D216" s="55"/>
      <c r="E216" s="13"/>
      <c r="F216" s="55"/>
      <c r="G216" s="55"/>
      <c r="H216" s="13">
        <f t="shared" si="4"/>
        <v>1053897.6000000001</v>
      </c>
      <c r="I216" s="18" t="s">
        <v>10</v>
      </c>
    </row>
    <row r="217" spans="1:9" ht="14.25">
      <c r="A217" s="61"/>
      <c r="B217" s="11" t="s">
        <v>198</v>
      </c>
      <c r="C217" s="12">
        <v>106650</v>
      </c>
      <c r="D217" s="55"/>
      <c r="E217" s="13">
        <v>85050</v>
      </c>
      <c r="F217" s="55"/>
      <c r="G217" s="55"/>
      <c r="H217" s="13">
        <f t="shared" si="4"/>
        <v>21600</v>
      </c>
      <c r="I217" s="18" t="s">
        <v>10</v>
      </c>
    </row>
    <row r="218" spans="1:9" ht="14.25">
      <c r="A218" s="61"/>
      <c r="B218" s="11" t="s">
        <v>199</v>
      </c>
      <c r="C218" s="13">
        <v>478100</v>
      </c>
      <c r="D218" s="55"/>
      <c r="E218" s="13">
        <v>478100</v>
      </c>
      <c r="F218" s="55"/>
      <c r="G218" s="55"/>
      <c r="H218" s="13">
        <f t="shared" si="4"/>
        <v>0</v>
      </c>
      <c r="I218" s="18" t="s">
        <v>25</v>
      </c>
    </row>
    <row r="219" spans="1:9" ht="42.75">
      <c r="A219" s="61"/>
      <c r="B219" s="21" t="s">
        <v>200</v>
      </c>
      <c r="C219" s="13">
        <v>660000</v>
      </c>
      <c r="D219" s="55"/>
      <c r="E219" s="13">
        <v>660000</v>
      </c>
      <c r="F219" s="55"/>
      <c r="G219" s="55"/>
      <c r="H219" s="13">
        <f t="shared" si="4"/>
        <v>0</v>
      </c>
      <c r="I219" s="24" t="s">
        <v>201</v>
      </c>
    </row>
    <row r="220" spans="1:9" ht="42.75">
      <c r="A220" s="61"/>
      <c r="B220" s="29" t="s">
        <v>202</v>
      </c>
      <c r="C220" s="13">
        <v>5090000</v>
      </c>
      <c r="D220" s="55"/>
      <c r="E220" s="13">
        <v>5090000</v>
      </c>
      <c r="F220" s="55"/>
      <c r="G220" s="55"/>
      <c r="H220" s="13">
        <f t="shared" si="4"/>
        <v>0</v>
      </c>
      <c r="I220" s="32" t="s">
        <v>203</v>
      </c>
    </row>
    <row r="221" spans="1:9" ht="28.5">
      <c r="A221" s="61"/>
      <c r="B221" s="11" t="s">
        <v>204</v>
      </c>
      <c r="C221" s="13">
        <v>302700</v>
      </c>
      <c r="D221" s="55"/>
      <c r="E221" s="13">
        <f>57495.82+29400+209804.18</f>
        <v>296700</v>
      </c>
      <c r="F221" s="55"/>
      <c r="G221" s="55"/>
      <c r="H221" s="13">
        <f t="shared" si="4"/>
        <v>6000</v>
      </c>
      <c r="I221" s="18" t="s">
        <v>12</v>
      </c>
    </row>
    <row r="222" spans="1:9" ht="42.75">
      <c r="A222" s="61"/>
      <c r="B222" s="21" t="s">
        <v>205</v>
      </c>
      <c r="C222" s="13">
        <v>210220</v>
      </c>
      <c r="D222" s="55"/>
      <c r="E222" s="13"/>
      <c r="F222" s="55"/>
      <c r="G222" s="55"/>
      <c r="H222" s="13">
        <f t="shared" si="4"/>
        <v>210220</v>
      </c>
      <c r="I222" s="31" t="s">
        <v>206</v>
      </c>
    </row>
    <row r="223" spans="1:9" ht="42.75">
      <c r="A223" s="63" t="s">
        <v>207</v>
      </c>
      <c r="B223" s="11" t="s">
        <v>208</v>
      </c>
      <c r="C223" s="64">
        <v>3361642</v>
      </c>
      <c r="D223" s="55">
        <f>SUBTOTAL(9,C225:C226)</f>
        <v>26975220</v>
      </c>
      <c r="E223" s="55"/>
      <c r="F223" s="55">
        <f>SUBTOTAL(9,E225:E226)</f>
        <v>17324020</v>
      </c>
      <c r="G223" s="55">
        <f>D223-F223</f>
        <v>9651200</v>
      </c>
      <c r="H223" s="13">
        <f t="shared" si="4"/>
        <v>3361642</v>
      </c>
      <c r="I223" s="52" t="s">
        <v>10</v>
      </c>
    </row>
    <row r="224" spans="1:9" ht="28.5">
      <c r="A224" s="63"/>
      <c r="B224" s="11" t="s">
        <v>209</v>
      </c>
      <c r="C224" s="64"/>
      <c r="D224" s="55"/>
      <c r="E224" s="55"/>
      <c r="F224" s="55"/>
      <c r="G224" s="55"/>
      <c r="H224" s="13">
        <f t="shared" ref="H224:H287" si="5">C224-E224</f>
        <v>0</v>
      </c>
      <c r="I224" s="52"/>
    </row>
    <row r="225" spans="1:9" ht="42.75">
      <c r="A225" s="63"/>
      <c r="B225" s="21" t="s">
        <v>210</v>
      </c>
      <c r="C225" s="13">
        <v>3000000</v>
      </c>
      <c r="D225" s="55"/>
      <c r="E225" s="13"/>
      <c r="F225" s="55"/>
      <c r="G225" s="55"/>
      <c r="H225" s="13">
        <f t="shared" si="5"/>
        <v>3000000</v>
      </c>
      <c r="I225" s="24" t="s">
        <v>211</v>
      </c>
    </row>
    <row r="226" spans="1:9" ht="42.75">
      <c r="A226" s="63"/>
      <c r="B226" s="11" t="s">
        <v>212</v>
      </c>
      <c r="C226" s="13">
        <f>17324020+6651200</f>
        <v>23975220</v>
      </c>
      <c r="D226" s="55"/>
      <c r="E226" s="13">
        <v>17324020</v>
      </c>
      <c r="F226" s="55"/>
      <c r="G226" s="55"/>
      <c r="H226" s="13">
        <f t="shared" si="5"/>
        <v>6651200</v>
      </c>
      <c r="I226" s="24" t="s">
        <v>213</v>
      </c>
    </row>
    <row r="227" spans="1:9" ht="14.25">
      <c r="A227" s="61" t="s">
        <v>214</v>
      </c>
      <c r="B227" s="11" t="s">
        <v>13</v>
      </c>
      <c r="C227" s="13">
        <v>420990.9</v>
      </c>
      <c r="D227" s="55">
        <f>SUBTOTAL(9,C227:C230)</f>
        <v>910990.9</v>
      </c>
      <c r="E227" s="13">
        <v>446519.9</v>
      </c>
      <c r="F227" s="55">
        <f>SUBTOTAL(9,E227:E230)</f>
        <v>936519.9</v>
      </c>
      <c r="G227" s="55">
        <f>D227-F227</f>
        <v>-25529</v>
      </c>
      <c r="H227" s="13">
        <f t="shared" si="5"/>
        <v>-25529</v>
      </c>
      <c r="I227" s="18" t="s">
        <v>12</v>
      </c>
    </row>
    <row r="228" spans="1:9" ht="14.25">
      <c r="A228" s="61"/>
      <c r="B228" s="11" t="s">
        <v>18</v>
      </c>
      <c r="C228" s="13">
        <v>40000</v>
      </c>
      <c r="D228" s="55"/>
      <c r="E228" s="13">
        <v>40000</v>
      </c>
      <c r="F228" s="55"/>
      <c r="G228" s="55"/>
      <c r="H228" s="13">
        <f t="shared" si="5"/>
        <v>0</v>
      </c>
      <c r="I228" s="18" t="s">
        <v>12</v>
      </c>
    </row>
    <row r="229" spans="1:9" ht="14.25">
      <c r="A229" s="61"/>
      <c r="B229" s="11" t="s">
        <v>215</v>
      </c>
      <c r="C229" s="12">
        <v>190000</v>
      </c>
      <c r="D229" s="55"/>
      <c r="E229" s="13">
        <f>26000+164000</f>
        <v>190000</v>
      </c>
      <c r="F229" s="55"/>
      <c r="G229" s="55"/>
      <c r="H229" s="13">
        <f t="shared" si="5"/>
        <v>0</v>
      </c>
      <c r="I229" s="18" t="s">
        <v>10</v>
      </c>
    </row>
    <row r="230" spans="1:9" ht="14.25">
      <c r="A230" s="61"/>
      <c r="B230" s="11" t="s">
        <v>216</v>
      </c>
      <c r="C230" s="13">
        <v>260000</v>
      </c>
      <c r="D230" s="55"/>
      <c r="E230" s="13">
        <v>260000</v>
      </c>
      <c r="F230" s="55"/>
      <c r="G230" s="55"/>
      <c r="H230" s="13">
        <f t="shared" si="5"/>
        <v>0</v>
      </c>
      <c r="I230" s="18" t="s">
        <v>12</v>
      </c>
    </row>
    <row r="231" spans="1:9" ht="14.25">
      <c r="A231" s="61"/>
      <c r="B231" s="11" t="s">
        <v>217</v>
      </c>
      <c r="C231" s="12">
        <v>50000</v>
      </c>
      <c r="D231" s="55"/>
      <c r="E231" s="13">
        <v>50000</v>
      </c>
      <c r="F231" s="55"/>
      <c r="G231" s="55"/>
      <c r="H231" s="13">
        <f t="shared" si="5"/>
        <v>0</v>
      </c>
      <c r="I231" s="18" t="s">
        <v>10</v>
      </c>
    </row>
    <row r="232" spans="1:9" ht="14.25">
      <c r="A232" s="61" t="s">
        <v>218</v>
      </c>
      <c r="B232" s="11" t="s">
        <v>219</v>
      </c>
      <c r="C232" s="12">
        <v>280000</v>
      </c>
      <c r="D232" s="55">
        <f>SUBTOTAL(9,C234:C250)</f>
        <v>120052144.73999999</v>
      </c>
      <c r="E232" s="13">
        <v>272914.45</v>
      </c>
      <c r="F232" s="55">
        <f>SUBTOTAL(9,E234:E250)</f>
        <v>108594251.09999999</v>
      </c>
      <c r="G232" s="55">
        <f>D232-F232</f>
        <v>11457893.640000001</v>
      </c>
      <c r="H232" s="13">
        <f t="shared" si="5"/>
        <v>7085.5499999999884</v>
      </c>
      <c r="I232" s="18" t="s">
        <v>10</v>
      </c>
    </row>
    <row r="233" spans="1:9" ht="14.25">
      <c r="A233" s="61"/>
      <c r="B233" s="11" t="s">
        <v>220</v>
      </c>
      <c r="C233" s="12">
        <v>518177.91</v>
      </c>
      <c r="D233" s="55"/>
      <c r="E233" s="13">
        <v>518177.91</v>
      </c>
      <c r="F233" s="55"/>
      <c r="G233" s="55"/>
      <c r="H233" s="13">
        <f t="shared" si="5"/>
        <v>0</v>
      </c>
      <c r="I233" s="18" t="s">
        <v>10</v>
      </c>
    </row>
    <row r="234" spans="1:9" ht="28.5">
      <c r="A234" s="61"/>
      <c r="B234" s="11" t="s">
        <v>221</v>
      </c>
      <c r="C234" s="13">
        <v>1451000</v>
      </c>
      <c r="D234" s="55"/>
      <c r="E234" s="13">
        <v>1451000</v>
      </c>
      <c r="F234" s="55"/>
      <c r="G234" s="55"/>
      <c r="H234" s="13">
        <f t="shared" si="5"/>
        <v>0</v>
      </c>
      <c r="I234" s="18" t="s">
        <v>12</v>
      </c>
    </row>
    <row r="235" spans="1:9" ht="57">
      <c r="A235" s="61"/>
      <c r="B235" s="23" t="s">
        <v>222</v>
      </c>
      <c r="C235" s="13">
        <f>10861800+4000000+18200000</f>
        <v>33061800</v>
      </c>
      <c r="D235" s="55"/>
      <c r="E235" s="13">
        <f>18200000+10861800</f>
        <v>29061800</v>
      </c>
      <c r="F235" s="55"/>
      <c r="G235" s="55"/>
      <c r="H235" s="13">
        <f t="shared" si="5"/>
        <v>4000000</v>
      </c>
      <c r="I235" s="24" t="s">
        <v>223</v>
      </c>
    </row>
    <row r="236" spans="1:9" ht="50.25" customHeight="1">
      <c r="A236" s="61"/>
      <c r="B236" s="23" t="s">
        <v>224</v>
      </c>
      <c r="C236" s="13">
        <v>10000000</v>
      </c>
      <c r="D236" s="55"/>
      <c r="E236" s="13">
        <v>10000000</v>
      </c>
      <c r="F236" s="55"/>
      <c r="G236" s="55"/>
      <c r="H236" s="13">
        <f t="shared" si="5"/>
        <v>0</v>
      </c>
      <c r="I236" s="24" t="s">
        <v>225</v>
      </c>
    </row>
    <row r="237" spans="1:9" ht="34.5" customHeight="1">
      <c r="A237" s="61"/>
      <c r="B237" s="21" t="s">
        <v>226</v>
      </c>
      <c r="C237" s="13">
        <v>3000000</v>
      </c>
      <c r="D237" s="55"/>
      <c r="E237" s="13">
        <v>3000000</v>
      </c>
      <c r="F237" s="55"/>
      <c r="G237" s="55"/>
      <c r="H237" s="13">
        <f t="shared" si="5"/>
        <v>0</v>
      </c>
      <c r="I237" s="24" t="s">
        <v>227</v>
      </c>
    </row>
    <row r="238" spans="1:9" ht="28.5">
      <c r="A238" s="61"/>
      <c r="B238" s="11" t="s">
        <v>228</v>
      </c>
      <c r="C238" s="13">
        <v>18800</v>
      </c>
      <c r="D238" s="55"/>
      <c r="E238" s="13">
        <v>18800</v>
      </c>
      <c r="F238" s="55"/>
      <c r="G238" s="55"/>
      <c r="H238" s="13">
        <f t="shared" si="5"/>
        <v>0</v>
      </c>
      <c r="I238" s="24" t="s">
        <v>12</v>
      </c>
    </row>
    <row r="239" spans="1:9" ht="18.75" customHeight="1">
      <c r="A239" s="61"/>
      <c r="B239" s="11" t="s">
        <v>229</v>
      </c>
      <c r="C239" s="13">
        <v>11725800</v>
      </c>
      <c r="D239" s="55"/>
      <c r="E239" s="13">
        <v>11725800</v>
      </c>
      <c r="F239" s="55"/>
      <c r="G239" s="55"/>
      <c r="H239" s="13">
        <f t="shared" si="5"/>
        <v>0</v>
      </c>
      <c r="I239" s="18" t="s">
        <v>12</v>
      </c>
    </row>
    <row r="240" spans="1:9" ht="22.5" customHeight="1">
      <c r="A240" s="61"/>
      <c r="B240" s="11" t="s">
        <v>230</v>
      </c>
      <c r="C240" s="13">
        <v>2030400</v>
      </c>
      <c r="D240" s="55"/>
      <c r="E240" s="13">
        <v>2030400</v>
      </c>
      <c r="F240" s="55"/>
      <c r="G240" s="55"/>
      <c r="H240" s="13">
        <f t="shared" si="5"/>
        <v>0</v>
      </c>
      <c r="I240" s="18" t="s">
        <v>12</v>
      </c>
    </row>
    <row r="241" spans="1:9" ht="42.75">
      <c r="A241" s="61"/>
      <c r="B241" s="21" t="s">
        <v>231</v>
      </c>
      <c r="C241" s="13">
        <v>7431500</v>
      </c>
      <c r="D241" s="55"/>
      <c r="E241" s="13"/>
      <c r="F241" s="55"/>
      <c r="G241" s="55"/>
      <c r="H241" s="13">
        <f t="shared" si="5"/>
        <v>7431500</v>
      </c>
      <c r="I241" s="24" t="s">
        <v>232</v>
      </c>
    </row>
    <row r="242" spans="1:9" ht="42.75">
      <c r="A242" s="61"/>
      <c r="B242" s="21" t="s">
        <v>233</v>
      </c>
      <c r="C242" s="13">
        <v>2456236</v>
      </c>
      <c r="D242" s="55"/>
      <c r="E242" s="13">
        <v>2456235.58</v>
      </c>
      <c r="F242" s="55"/>
      <c r="G242" s="55"/>
      <c r="H242" s="13">
        <f t="shared" si="5"/>
        <v>0.41999999992549419</v>
      </c>
      <c r="I242" s="24" t="s">
        <v>603</v>
      </c>
    </row>
    <row r="243" spans="1:9" ht="42.75">
      <c r="A243" s="61"/>
      <c r="B243" s="21" t="s">
        <v>234</v>
      </c>
      <c r="C243" s="13">
        <v>1500000</v>
      </c>
      <c r="D243" s="55"/>
      <c r="E243" s="13">
        <v>1500000</v>
      </c>
      <c r="F243" s="55"/>
      <c r="G243" s="55"/>
      <c r="H243" s="13">
        <f t="shared" si="5"/>
        <v>0</v>
      </c>
      <c r="I243" s="24" t="s">
        <v>235</v>
      </c>
    </row>
    <row r="244" spans="1:9" ht="14.25">
      <c r="A244" s="61"/>
      <c r="B244" s="11" t="s">
        <v>13</v>
      </c>
      <c r="C244" s="13">
        <v>1562608.74</v>
      </c>
      <c r="D244" s="55"/>
      <c r="E244" s="13">
        <v>1536215.52</v>
      </c>
      <c r="F244" s="55"/>
      <c r="G244" s="55"/>
      <c r="H244" s="13">
        <f t="shared" si="5"/>
        <v>26393.219999999972</v>
      </c>
      <c r="I244" s="18" t="s">
        <v>12</v>
      </c>
    </row>
    <row r="245" spans="1:9" ht="14.25">
      <c r="A245" s="61"/>
      <c r="B245" s="11" t="s">
        <v>18</v>
      </c>
      <c r="C245" s="13">
        <v>580000</v>
      </c>
      <c r="D245" s="55"/>
      <c r="E245" s="13">
        <v>580000</v>
      </c>
      <c r="F245" s="55"/>
      <c r="G245" s="55"/>
      <c r="H245" s="13">
        <f t="shared" si="5"/>
        <v>0</v>
      </c>
      <c r="I245" s="18" t="s">
        <v>12</v>
      </c>
    </row>
    <row r="246" spans="1:9" ht="14.25">
      <c r="A246" s="61"/>
      <c r="B246" s="11" t="s">
        <v>236</v>
      </c>
      <c r="C246" s="13">
        <v>35038000</v>
      </c>
      <c r="D246" s="55"/>
      <c r="E246" s="13">
        <v>35038000</v>
      </c>
      <c r="F246" s="55"/>
      <c r="G246" s="55"/>
      <c r="H246" s="13">
        <f t="shared" si="5"/>
        <v>0</v>
      </c>
      <c r="I246" s="18" t="s">
        <v>12</v>
      </c>
    </row>
    <row r="247" spans="1:9" ht="28.5">
      <c r="A247" s="61"/>
      <c r="B247" s="11" t="s">
        <v>237</v>
      </c>
      <c r="C247" s="13">
        <v>660000</v>
      </c>
      <c r="D247" s="55"/>
      <c r="E247" s="13">
        <v>660000</v>
      </c>
      <c r="F247" s="55"/>
      <c r="G247" s="55"/>
      <c r="H247" s="13">
        <f t="shared" si="5"/>
        <v>0</v>
      </c>
      <c r="I247" s="18" t="s">
        <v>12</v>
      </c>
    </row>
    <row r="248" spans="1:9" ht="42.75">
      <c r="A248" s="61"/>
      <c r="B248" s="11" t="s">
        <v>238</v>
      </c>
      <c r="C248" s="13">
        <v>8500000</v>
      </c>
      <c r="D248" s="55"/>
      <c r="E248" s="13">
        <v>8500000</v>
      </c>
      <c r="F248" s="55"/>
      <c r="G248" s="55"/>
      <c r="H248" s="13">
        <f t="shared" si="5"/>
        <v>0</v>
      </c>
      <c r="I248" s="18" t="s">
        <v>12</v>
      </c>
    </row>
    <row r="249" spans="1:9" ht="14.25">
      <c r="A249" s="61"/>
      <c r="B249" s="11" t="s">
        <v>239</v>
      </c>
      <c r="C249" s="13">
        <v>1000000</v>
      </c>
      <c r="D249" s="55"/>
      <c r="E249" s="13">
        <v>1000000</v>
      </c>
      <c r="F249" s="55"/>
      <c r="G249" s="55"/>
      <c r="H249" s="13">
        <f t="shared" si="5"/>
        <v>0</v>
      </c>
      <c r="I249" s="18" t="s">
        <v>12</v>
      </c>
    </row>
    <row r="250" spans="1:9" ht="14.25">
      <c r="A250" s="61"/>
      <c r="B250" s="11" t="s">
        <v>240</v>
      </c>
      <c r="C250" s="13">
        <v>36000</v>
      </c>
      <c r="D250" s="55"/>
      <c r="E250" s="13">
        <v>36000</v>
      </c>
      <c r="F250" s="55"/>
      <c r="G250" s="55"/>
      <c r="H250" s="13">
        <f t="shared" si="5"/>
        <v>0</v>
      </c>
      <c r="I250" s="18" t="s">
        <v>12</v>
      </c>
    </row>
    <row r="251" spans="1:9" ht="14.25">
      <c r="A251" s="61" t="s">
        <v>241</v>
      </c>
      <c r="B251" s="11" t="s">
        <v>242</v>
      </c>
      <c r="C251" s="12">
        <v>150000</v>
      </c>
      <c r="D251" s="55">
        <f>SUBTOTAL(9,C252:C258)</f>
        <v>4911833.8100000005</v>
      </c>
      <c r="E251" s="13">
        <v>150000</v>
      </c>
      <c r="F251" s="55">
        <f>SUBTOTAL(9,E252:E258)</f>
        <v>4202367.32</v>
      </c>
      <c r="G251" s="55">
        <f>D251-F251</f>
        <v>709466.49000000022</v>
      </c>
      <c r="H251" s="13">
        <f t="shared" si="5"/>
        <v>0</v>
      </c>
      <c r="I251" s="18" t="s">
        <v>10</v>
      </c>
    </row>
    <row r="252" spans="1:9" ht="33" customHeight="1">
      <c r="A252" s="61"/>
      <c r="B252" s="30" t="s">
        <v>243</v>
      </c>
      <c r="C252" s="13">
        <v>247500</v>
      </c>
      <c r="D252" s="55"/>
      <c r="E252" s="13">
        <v>0</v>
      </c>
      <c r="F252" s="55"/>
      <c r="G252" s="55"/>
      <c r="H252" s="13">
        <f t="shared" si="5"/>
        <v>247500</v>
      </c>
      <c r="I252" s="24" t="s">
        <v>244</v>
      </c>
    </row>
    <row r="253" spans="1:9" ht="31.5" customHeight="1">
      <c r="A253" s="61"/>
      <c r="B253" s="51" t="s">
        <v>245</v>
      </c>
      <c r="C253" s="14">
        <v>127697</v>
      </c>
      <c r="D253" s="55"/>
      <c r="E253" s="13"/>
      <c r="F253" s="55"/>
      <c r="G253" s="55"/>
      <c r="H253" s="13">
        <f t="shared" si="5"/>
        <v>127697</v>
      </c>
      <c r="I253" s="24"/>
    </row>
    <row r="254" spans="1:9" ht="14.25">
      <c r="A254" s="61"/>
      <c r="B254" s="11" t="s">
        <v>246</v>
      </c>
      <c r="C254" s="14">
        <v>727545.25</v>
      </c>
      <c r="D254" s="55"/>
      <c r="E254" s="13">
        <v>727545.25</v>
      </c>
      <c r="F254" s="55"/>
      <c r="G254" s="55"/>
      <c r="H254" s="13">
        <f t="shared" si="5"/>
        <v>0</v>
      </c>
      <c r="I254" s="18" t="s">
        <v>10</v>
      </c>
    </row>
    <row r="255" spans="1:9" ht="14.25">
      <c r="A255" s="61"/>
      <c r="B255" s="11" t="s">
        <v>247</v>
      </c>
      <c r="C255" s="13">
        <v>1632014.75</v>
      </c>
      <c r="D255" s="55"/>
      <c r="E255" s="13">
        <v>1632014.75</v>
      </c>
      <c r="F255" s="55"/>
      <c r="G255" s="55"/>
      <c r="H255" s="13">
        <f t="shared" si="5"/>
        <v>0</v>
      </c>
      <c r="I255" s="18" t="s">
        <v>25</v>
      </c>
    </row>
    <row r="256" spans="1:9" ht="42.75">
      <c r="A256" s="61"/>
      <c r="B256" s="11" t="s">
        <v>248</v>
      </c>
      <c r="C256" s="13">
        <v>264800</v>
      </c>
      <c r="D256" s="55"/>
      <c r="E256" s="13">
        <v>0</v>
      </c>
      <c r="F256" s="55"/>
      <c r="G256" s="55"/>
      <c r="H256" s="13">
        <f t="shared" si="5"/>
        <v>264800</v>
      </c>
      <c r="I256" s="24" t="s">
        <v>249</v>
      </c>
    </row>
    <row r="257" spans="1:9" ht="14.25">
      <c r="A257" s="61"/>
      <c r="B257" s="11" t="s">
        <v>13</v>
      </c>
      <c r="C257" s="13">
        <v>1692276.81</v>
      </c>
      <c r="D257" s="55"/>
      <c r="E257" s="13">
        <v>1622807.32</v>
      </c>
      <c r="F257" s="55"/>
      <c r="G257" s="55"/>
      <c r="H257" s="13">
        <f t="shared" si="5"/>
        <v>69469.489999999991</v>
      </c>
      <c r="I257" s="18" t="s">
        <v>12</v>
      </c>
    </row>
    <row r="258" spans="1:9" ht="14.25">
      <c r="A258" s="61"/>
      <c r="B258" s="11" t="s">
        <v>18</v>
      </c>
      <c r="C258" s="13">
        <v>220000</v>
      </c>
      <c r="D258" s="55"/>
      <c r="E258" s="13">
        <v>220000</v>
      </c>
      <c r="F258" s="55"/>
      <c r="G258" s="55"/>
      <c r="H258" s="13">
        <f t="shared" si="5"/>
        <v>0</v>
      </c>
      <c r="I258" s="18" t="s">
        <v>12</v>
      </c>
    </row>
    <row r="259" spans="1:9" ht="14.25">
      <c r="A259" s="61" t="s">
        <v>250</v>
      </c>
      <c r="B259" s="11" t="s">
        <v>251</v>
      </c>
      <c r="C259" s="13">
        <f>4902000</f>
        <v>4902000</v>
      </c>
      <c r="D259" s="55">
        <f>SUBTOTAL(9,C259:C284)</f>
        <v>251972004.98999998</v>
      </c>
      <c r="E259" s="13">
        <v>3100</v>
      </c>
      <c r="F259" s="55">
        <f>SUBTOTAL(9,E259:E284)</f>
        <v>231632546.47</v>
      </c>
      <c r="G259" s="55">
        <f>D259-F259</f>
        <v>20339458.519999981</v>
      </c>
      <c r="H259" s="13">
        <f t="shared" si="5"/>
        <v>4898900</v>
      </c>
      <c r="I259" s="18" t="s">
        <v>12</v>
      </c>
    </row>
    <row r="260" spans="1:9" ht="57">
      <c r="A260" s="61"/>
      <c r="B260" s="11" t="s">
        <v>252</v>
      </c>
      <c r="C260" s="13">
        <v>5500700</v>
      </c>
      <c r="D260" s="55"/>
      <c r="E260" s="13">
        <v>5500700</v>
      </c>
      <c r="F260" s="55"/>
      <c r="G260" s="55"/>
      <c r="H260" s="13">
        <f t="shared" si="5"/>
        <v>0</v>
      </c>
      <c r="I260" s="18" t="s">
        <v>12</v>
      </c>
    </row>
    <row r="261" spans="1:9" ht="57">
      <c r="A261" s="61"/>
      <c r="B261" s="11" t="s">
        <v>253</v>
      </c>
      <c r="C261" s="13">
        <f>861400+5145900</f>
        <v>6007300</v>
      </c>
      <c r="D261" s="55"/>
      <c r="E261" s="13">
        <f>5145900+861400</f>
        <v>6007300</v>
      </c>
      <c r="F261" s="55"/>
      <c r="G261" s="55"/>
      <c r="H261" s="13">
        <f t="shared" si="5"/>
        <v>0</v>
      </c>
      <c r="I261" s="18" t="s">
        <v>254</v>
      </c>
    </row>
    <row r="262" spans="1:9" ht="57">
      <c r="A262" s="61"/>
      <c r="B262" s="11" t="s">
        <v>255</v>
      </c>
      <c r="C262" s="13">
        <v>2022000</v>
      </c>
      <c r="D262" s="55"/>
      <c r="E262" s="13">
        <v>2022000</v>
      </c>
      <c r="F262" s="55"/>
      <c r="G262" s="55"/>
      <c r="H262" s="13">
        <f t="shared" si="5"/>
        <v>0</v>
      </c>
      <c r="I262" s="18" t="s">
        <v>12</v>
      </c>
    </row>
    <row r="263" spans="1:9" ht="57">
      <c r="A263" s="61"/>
      <c r="B263" s="11" t="s">
        <v>256</v>
      </c>
      <c r="C263" s="13">
        <v>460000</v>
      </c>
      <c r="D263" s="55"/>
      <c r="E263" s="13">
        <v>460000</v>
      </c>
      <c r="F263" s="55"/>
      <c r="G263" s="55"/>
      <c r="H263" s="13">
        <f t="shared" si="5"/>
        <v>0</v>
      </c>
      <c r="I263" s="18" t="s">
        <v>12</v>
      </c>
    </row>
    <row r="264" spans="1:9" ht="28.5">
      <c r="A264" s="61"/>
      <c r="B264" s="23" t="s">
        <v>257</v>
      </c>
      <c r="C264" s="13">
        <v>8182500</v>
      </c>
      <c r="D264" s="55"/>
      <c r="E264" s="13">
        <v>8182500</v>
      </c>
      <c r="F264" s="55"/>
      <c r="G264" s="55"/>
      <c r="H264" s="13">
        <f t="shared" si="5"/>
        <v>0</v>
      </c>
      <c r="I264" s="52" t="s">
        <v>258</v>
      </c>
    </row>
    <row r="265" spans="1:9" ht="28.5">
      <c r="A265" s="61"/>
      <c r="B265" s="23" t="s">
        <v>259</v>
      </c>
      <c r="C265" s="13">
        <v>5439000</v>
      </c>
      <c r="D265" s="55"/>
      <c r="E265" s="13">
        <v>5439000</v>
      </c>
      <c r="F265" s="55"/>
      <c r="G265" s="55"/>
      <c r="H265" s="13">
        <f t="shared" si="5"/>
        <v>0</v>
      </c>
      <c r="I265" s="52"/>
    </row>
    <row r="266" spans="1:9" ht="28.5">
      <c r="A266" s="61"/>
      <c r="B266" s="23" t="s">
        <v>260</v>
      </c>
      <c r="C266" s="13">
        <v>3441500</v>
      </c>
      <c r="D266" s="55"/>
      <c r="E266" s="13">
        <v>3441500</v>
      </c>
      <c r="F266" s="55"/>
      <c r="G266" s="55"/>
      <c r="H266" s="13">
        <f t="shared" si="5"/>
        <v>0</v>
      </c>
      <c r="I266" s="52"/>
    </row>
    <row r="267" spans="1:9" ht="42.75">
      <c r="A267" s="61"/>
      <c r="B267" s="23" t="s">
        <v>261</v>
      </c>
      <c r="C267" s="13">
        <v>2342300</v>
      </c>
      <c r="D267" s="55"/>
      <c r="E267" s="13">
        <v>2342300</v>
      </c>
      <c r="F267" s="55"/>
      <c r="G267" s="55"/>
      <c r="H267" s="13">
        <f t="shared" si="5"/>
        <v>0</v>
      </c>
      <c r="I267" s="52"/>
    </row>
    <row r="268" spans="1:9" ht="42.75">
      <c r="A268" s="61"/>
      <c r="B268" s="30" t="s">
        <v>262</v>
      </c>
      <c r="C268" s="13">
        <v>52000000</v>
      </c>
      <c r="D268" s="55"/>
      <c r="E268" s="13">
        <v>52000000</v>
      </c>
      <c r="F268" s="55"/>
      <c r="G268" s="55"/>
      <c r="H268" s="13">
        <f t="shared" si="5"/>
        <v>0</v>
      </c>
      <c r="I268" s="24" t="s">
        <v>263</v>
      </c>
    </row>
    <row r="269" spans="1:9" ht="42.75">
      <c r="A269" s="61"/>
      <c r="B269" s="21" t="s">
        <v>264</v>
      </c>
      <c r="C269" s="13">
        <v>478100</v>
      </c>
      <c r="D269" s="55"/>
      <c r="E269" s="13">
        <v>478100</v>
      </c>
      <c r="F269" s="55"/>
      <c r="G269" s="55"/>
      <c r="H269" s="13">
        <f t="shared" si="5"/>
        <v>0</v>
      </c>
      <c r="I269" s="24" t="s">
        <v>258</v>
      </c>
    </row>
    <row r="270" spans="1:9" ht="57">
      <c r="A270" s="61"/>
      <c r="B270" s="11" t="s">
        <v>265</v>
      </c>
      <c r="C270" s="13">
        <v>3650200</v>
      </c>
      <c r="D270" s="55"/>
      <c r="E270" s="13">
        <v>3650200</v>
      </c>
      <c r="F270" s="55"/>
      <c r="G270" s="55"/>
      <c r="H270" s="13">
        <f t="shared" si="5"/>
        <v>0</v>
      </c>
      <c r="I270" s="18" t="s">
        <v>12</v>
      </c>
    </row>
    <row r="271" spans="1:9" ht="57">
      <c r="A271" s="61"/>
      <c r="B271" s="11" t="s">
        <v>266</v>
      </c>
      <c r="C271" s="13">
        <f>39976500-30000000</f>
        <v>9976500</v>
      </c>
      <c r="D271" s="55"/>
      <c r="E271" s="13">
        <v>9976500</v>
      </c>
      <c r="F271" s="55"/>
      <c r="G271" s="55"/>
      <c r="H271" s="13">
        <f t="shared" si="5"/>
        <v>0</v>
      </c>
      <c r="I271" s="18" t="s">
        <v>267</v>
      </c>
    </row>
    <row r="272" spans="1:9" ht="28.5">
      <c r="A272" s="61"/>
      <c r="B272" s="30" t="s">
        <v>268</v>
      </c>
      <c r="C272" s="22">
        <v>6265200</v>
      </c>
      <c r="D272" s="55"/>
      <c r="E272" s="22">
        <v>6265200</v>
      </c>
      <c r="F272" s="55"/>
      <c r="G272" s="55"/>
      <c r="H272" s="13">
        <f t="shared" si="5"/>
        <v>0</v>
      </c>
      <c r="I272" s="24" t="s">
        <v>269</v>
      </c>
    </row>
    <row r="273" spans="1:9" ht="28.5">
      <c r="A273" s="61"/>
      <c r="B273" s="21" t="s">
        <v>270</v>
      </c>
      <c r="C273" s="22">
        <f>14950000+10020000</f>
        <v>24970000</v>
      </c>
      <c r="D273" s="55"/>
      <c r="E273" s="22">
        <f>14950000+10020000</f>
        <v>24970000</v>
      </c>
      <c r="F273" s="55"/>
      <c r="G273" s="55"/>
      <c r="H273" s="13">
        <f t="shared" si="5"/>
        <v>0</v>
      </c>
      <c r="I273" s="24" t="s">
        <v>271</v>
      </c>
    </row>
    <row r="274" spans="1:9" ht="28.5">
      <c r="A274" s="61"/>
      <c r="B274" s="21" t="s">
        <v>272</v>
      </c>
      <c r="C274" s="22">
        <v>5910000</v>
      </c>
      <c r="D274" s="55"/>
      <c r="E274" s="13"/>
      <c r="F274" s="55"/>
      <c r="G274" s="55"/>
      <c r="H274" s="13">
        <f t="shared" si="5"/>
        <v>5910000</v>
      </c>
      <c r="I274" s="24" t="s">
        <v>273</v>
      </c>
    </row>
    <row r="275" spans="1:9" ht="42.75">
      <c r="A275" s="61"/>
      <c r="B275" s="21" t="s">
        <v>274</v>
      </c>
      <c r="C275" s="22">
        <v>12860800</v>
      </c>
      <c r="D275" s="55"/>
      <c r="E275" s="13">
        <v>12860800</v>
      </c>
      <c r="F275" s="55"/>
      <c r="G275" s="55"/>
      <c r="H275" s="13">
        <f t="shared" si="5"/>
        <v>0</v>
      </c>
      <c r="I275" s="24" t="s">
        <v>275</v>
      </c>
    </row>
    <row r="276" spans="1:9" ht="42.75">
      <c r="A276" s="61"/>
      <c r="B276" s="21" t="s">
        <v>276</v>
      </c>
      <c r="C276" s="22">
        <f>8729100+4280000</f>
        <v>13009100</v>
      </c>
      <c r="D276" s="55"/>
      <c r="E276" s="13">
        <f>8729100+4280000</f>
        <v>13009100</v>
      </c>
      <c r="F276" s="55"/>
      <c r="G276" s="55"/>
      <c r="H276" s="13">
        <f t="shared" si="5"/>
        <v>0</v>
      </c>
      <c r="I276" s="24" t="s">
        <v>277</v>
      </c>
    </row>
    <row r="277" spans="1:9" ht="28.5">
      <c r="A277" s="61"/>
      <c r="B277" s="11" t="s">
        <v>278</v>
      </c>
      <c r="C277" s="14">
        <v>4832.1000000000004</v>
      </c>
      <c r="D277" s="55"/>
      <c r="E277" s="13">
        <v>4832.1000000000004</v>
      </c>
      <c r="F277" s="55"/>
      <c r="G277" s="55"/>
      <c r="H277" s="13">
        <f t="shared" si="5"/>
        <v>0</v>
      </c>
      <c r="I277" s="24" t="s">
        <v>10</v>
      </c>
    </row>
    <row r="278" spans="1:9" ht="28.5">
      <c r="A278" s="61"/>
      <c r="B278" s="11" t="s">
        <v>279</v>
      </c>
      <c r="C278" s="14">
        <v>28721200</v>
      </c>
      <c r="D278" s="55"/>
      <c r="E278" s="13">
        <v>28721200</v>
      </c>
      <c r="F278" s="55"/>
      <c r="G278" s="55"/>
      <c r="H278" s="13">
        <f t="shared" si="5"/>
        <v>0</v>
      </c>
      <c r="I278" s="24" t="s">
        <v>10</v>
      </c>
    </row>
    <row r="279" spans="1:9" ht="57">
      <c r="A279" s="61"/>
      <c r="B279" s="21" t="s">
        <v>280</v>
      </c>
      <c r="C279" s="22">
        <v>14700000</v>
      </c>
      <c r="D279" s="55"/>
      <c r="E279" s="13">
        <v>14700000</v>
      </c>
      <c r="F279" s="55"/>
      <c r="G279" s="55"/>
      <c r="H279" s="13">
        <f t="shared" si="5"/>
        <v>0</v>
      </c>
      <c r="I279" s="24" t="s">
        <v>281</v>
      </c>
    </row>
    <row r="280" spans="1:9" ht="14.25">
      <c r="A280" s="61"/>
      <c r="B280" s="11" t="s">
        <v>13</v>
      </c>
      <c r="C280" s="22">
        <v>1257872.8899999999</v>
      </c>
      <c r="D280" s="55"/>
      <c r="E280" s="13">
        <v>1727314.37</v>
      </c>
      <c r="F280" s="55"/>
      <c r="G280" s="55"/>
      <c r="H280" s="13">
        <f t="shared" si="5"/>
        <v>-469441.48000000021</v>
      </c>
      <c r="I280" s="18" t="s">
        <v>12</v>
      </c>
    </row>
    <row r="281" spans="1:9" ht="14.25">
      <c r="A281" s="61"/>
      <c r="B281" s="11" t="s">
        <v>18</v>
      </c>
      <c r="C281" s="22">
        <v>200000</v>
      </c>
      <c r="D281" s="55"/>
      <c r="E281" s="13">
        <v>200000</v>
      </c>
      <c r="F281" s="55"/>
      <c r="G281" s="55"/>
      <c r="H281" s="13">
        <f t="shared" si="5"/>
        <v>0</v>
      </c>
      <c r="I281" s="18" t="s">
        <v>12</v>
      </c>
    </row>
    <row r="282" spans="1:9" ht="57">
      <c r="A282" s="61"/>
      <c r="B282" s="11" t="s">
        <v>282</v>
      </c>
      <c r="C282" s="13">
        <v>20000000</v>
      </c>
      <c r="D282" s="55"/>
      <c r="E282" s="13">
        <v>20000000</v>
      </c>
      <c r="F282" s="55"/>
      <c r="G282" s="55"/>
      <c r="H282" s="13">
        <f t="shared" si="5"/>
        <v>0</v>
      </c>
      <c r="I282" s="18" t="s">
        <v>12</v>
      </c>
    </row>
    <row r="283" spans="1:9" ht="42.75">
      <c r="A283" s="61"/>
      <c r="B283" s="21" t="s">
        <v>126</v>
      </c>
      <c r="C283" s="13">
        <v>12060000</v>
      </c>
      <c r="D283" s="55"/>
      <c r="E283" s="13">
        <v>2060000</v>
      </c>
      <c r="F283" s="55"/>
      <c r="G283" s="55"/>
      <c r="H283" s="13">
        <f t="shared" si="5"/>
        <v>10000000</v>
      </c>
      <c r="I283" s="24" t="s">
        <v>127</v>
      </c>
    </row>
    <row r="284" spans="1:9" ht="57">
      <c r="A284" s="61"/>
      <c r="B284" s="11" t="s">
        <v>283</v>
      </c>
      <c r="C284" s="13">
        <v>7610900</v>
      </c>
      <c r="D284" s="55"/>
      <c r="E284" s="13">
        <v>7610900</v>
      </c>
      <c r="F284" s="55"/>
      <c r="G284" s="55"/>
      <c r="H284" s="13">
        <f t="shared" si="5"/>
        <v>0</v>
      </c>
      <c r="I284" s="18" t="s">
        <v>12</v>
      </c>
    </row>
    <row r="285" spans="1:9" ht="14.25">
      <c r="A285" s="61" t="s">
        <v>284</v>
      </c>
      <c r="B285" s="11" t="s">
        <v>13</v>
      </c>
      <c r="C285" s="13">
        <v>1514083.04</v>
      </c>
      <c r="D285" s="55">
        <f>SUBTOTAL(9,C285:C287)</f>
        <v>3244083.04</v>
      </c>
      <c r="E285" s="13">
        <v>1878565.99</v>
      </c>
      <c r="F285" s="55">
        <f>SUBTOTAL(9,E285:E287)</f>
        <v>2038565.99</v>
      </c>
      <c r="G285" s="55">
        <f>D285-F285</f>
        <v>1205517.05</v>
      </c>
      <c r="H285" s="13">
        <f t="shared" si="5"/>
        <v>-364482.94999999995</v>
      </c>
      <c r="I285" s="18" t="s">
        <v>12</v>
      </c>
    </row>
    <row r="286" spans="1:9" ht="14.25">
      <c r="A286" s="61"/>
      <c r="B286" s="11" t="s">
        <v>18</v>
      </c>
      <c r="C286" s="13">
        <v>160000</v>
      </c>
      <c r="D286" s="55"/>
      <c r="E286" s="13">
        <v>160000</v>
      </c>
      <c r="F286" s="55"/>
      <c r="G286" s="55"/>
      <c r="H286" s="13">
        <f t="shared" si="5"/>
        <v>0</v>
      </c>
      <c r="I286" s="18" t="s">
        <v>12</v>
      </c>
    </row>
    <row r="287" spans="1:9" ht="28.5">
      <c r="A287" s="61"/>
      <c r="B287" s="30" t="s">
        <v>285</v>
      </c>
      <c r="C287" s="13">
        <v>1570000</v>
      </c>
      <c r="D287" s="55"/>
      <c r="E287" s="13">
        <v>0</v>
      </c>
      <c r="F287" s="55"/>
      <c r="G287" s="55"/>
      <c r="H287" s="13">
        <f t="shared" si="5"/>
        <v>1570000</v>
      </c>
      <c r="I287" s="24" t="s">
        <v>286</v>
      </c>
    </row>
    <row r="288" spans="1:9" ht="14.25">
      <c r="A288" s="61" t="s">
        <v>287</v>
      </c>
      <c r="B288" s="11" t="s">
        <v>288</v>
      </c>
      <c r="C288" s="12">
        <v>90000</v>
      </c>
      <c r="D288" s="55">
        <f>SUBTOTAL(9,C289:C293)</f>
        <v>3134794.0300000003</v>
      </c>
      <c r="E288" s="13">
        <v>90000</v>
      </c>
      <c r="F288" s="55">
        <f>SUBTOTAL(9,E289:E293)</f>
        <v>3283122.6100000003</v>
      </c>
      <c r="G288" s="55">
        <f>D288-F288</f>
        <v>-148328.58000000007</v>
      </c>
      <c r="H288" s="13">
        <f t="shared" ref="H288:H351" si="6">C288-E288</f>
        <v>0</v>
      </c>
      <c r="I288" s="18" t="s">
        <v>10</v>
      </c>
    </row>
    <row r="289" spans="1:9" ht="14.25">
      <c r="A289" s="61"/>
      <c r="B289" s="11" t="s">
        <v>13</v>
      </c>
      <c r="C289" s="13">
        <v>1316294.03</v>
      </c>
      <c r="D289" s="55"/>
      <c r="E289" s="13">
        <v>1464622.61</v>
      </c>
      <c r="F289" s="55"/>
      <c r="G289" s="55"/>
      <c r="H289" s="13">
        <f t="shared" si="6"/>
        <v>-148328.58000000007</v>
      </c>
      <c r="I289" s="18" t="s">
        <v>12</v>
      </c>
    </row>
    <row r="290" spans="1:9" ht="28.5">
      <c r="A290" s="61"/>
      <c r="B290" s="11" t="s">
        <v>289</v>
      </c>
      <c r="C290" s="12">
        <v>598500</v>
      </c>
      <c r="D290" s="55"/>
      <c r="E290" s="13">
        <v>598500</v>
      </c>
      <c r="F290" s="55"/>
      <c r="G290" s="55"/>
      <c r="H290" s="13">
        <f t="shared" si="6"/>
        <v>0</v>
      </c>
      <c r="I290" s="18" t="s">
        <v>10</v>
      </c>
    </row>
    <row r="291" spans="1:9" ht="14.25">
      <c r="A291" s="61"/>
      <c r="B291" s="11" t="s">
        <v>18</v>
      </c>
      <c r="C291" s="13">
        <v>120000</v>
      </c>
      <c r="D291" s="55"/>
      <c r="E291" s="13">
        <v>120000</v>
      </c>
      <c r="F291" s="55"/>
      <c r="G291" s="55"/>
      <c r="H291" s="13">
        <f t="shared" si="6"/>
        <v>0</v>
      </c>
      <c r="I291" s="18" t="s">
        <v>12</v>
      </c>
    </row>
    <row r="292" spans="1:9" ht="14.25">
      <c r="A292" s="61"/>
      <c r="B292" s="11" t="s">
        <v>290</v>
      </c>
      <c r="C292" s="13">
        <f>400000</f>
        <v>400000</v>
      </c>
      <c r="D292" s="55"/>
      <c r="E292" s="13">
        <v>400000</v>
      </c>
      <c r="F292" s="55"/>
      <c r="G292" s="55"/>
      <c r="H292" s="13">
        <f t="shared" si="6"/>
        <v>0</v>
      </c>
      <c r="I292" s="18" t="s">
        <v>291</v>
      </c>
    </row>
    <row r="293" spans="1:9" ht="28.5">
      <c r="A293" s="61"/>
      <c r="B293" s="11" t="s">
        <v>292</v>
      </c>
      <c r="C293" s="13">
        <v>700000</v>
      </c>
      <c r="D293" s="55"/>
      <c r="E293" s="13">
        <v>700000</v>
      </c>
      <c r="F293" s="55"/>
      <c r="G293" s="55"/>
      <c r="H293" s="13">
        <f t="shared" si="6"/>
        <v>0</v>
      </c>
      <c r="I293" s="18" t="s">
        <v>12</v>
      </c>
    </row>
    <row r="294" spans="1:9" ht="28.5">
      <c r="A294" s="61" t="s">
        <v>293</v>
      </c>
      <c r="B294" s="11" t="s">
        <v>294</v>
      </c>
      <c r="C294" s="12">
        <v>255475</v>
      </c>
      <c r="D294" s="55">
        <f>SUBTOTAL(9,C296:C313)</f>
        <v>64912863.009999998</v>
      </c>
      <c r="E294" s="13">
        <v>255475</v>
      </c>
      <c r="F294" s="55">
        <f>SUBTOTAL(9,E296:E313)</f>
        <v>37356766.519999996</v>
      </c>
      <c r="G294" s="55">
        <f>D294-F294</f>
        <v>27556096.490000002</v>
      </c>
      <c r="H294" s="13">
        <f t="shared" si="6"/>
        <v>0</v>
      </c>
      <c r="I294" s="18" t="s">
        <v>10</v>
      </c>
    </row>
    <row r="295" spans="1:9" ht="14.25">
      <c r="A295" s="61"/>
      <c r="B295" s="11" t="s">
        <v>295</v>
      </c>
      <c r="C295" s="12">
        <v>1155370.32</v>
      </c>
      <c r="D295" s="55"/>
      <c r="E295" s="13">
        <v>1155370.32</v>
      </c>
      <c r="F295" s="55"/>
      <c r="G295" s="55"/>
      <c r="H295" s="13">
        <f t="shared" si="6"/>
        <v>0</v>
      </c>
      <c r="I295" s="18" t="s">
        <v>10</v>
      </c>
    </row>
    <row r="296" spans="1:9" ht="14.25">
      <c r="A296" s="61"/>
      <c r="B296" s="11" t="s">
        <v>13</v>
      </c>
      <c r="C296" s="13">
        <v>2099892.75</v>
      </c>
      <c r="D296" s="55"/>
      <c r="E296" s="13">
        <v>2373299.2599999998</v>
      </c>
      <c r="F296" s="55"/>
      <c r="G296" s="55"/>
      <c r="H296" s="13">
        <f t="shared" si="6"/>
        <v>-273406.50999999978</v>
      </c>
      <c r="I296" s="18" t="s">
        <v>12</v>
      </c>
    </row>
    <row r="297" spans="1:9" ht="14.25">
      <c r="A297" s="61"/>
      <c r="B297" s="11" t="s">
        <v>18</v>
      </c>
      <c r="C297" s="13">
        <v>260000</v>
      </c>
      <c r="D297" s="55"/>
      <c r="E297" s="13">
        <v>260000</v>
      </c>
      <c r="F297" s="55"/>
      <c r="G297" s="55"/>
      <c r="H297" s="13">
        <f t="shared" si="6"/>
        <v>0</v>
      </c>
      <c r="I297" s="18" t="s">
        <v>12</v>
      </c>
    </row>
    <row r="298" spans="1:9" ht="14.25">
      <c r="A298" s="61"/>
      <c r="B298" s="11" t="s">
        <v>296</v>
      </c>
      <c r="C298" s="13">
        <f>510000+3500</f>
        <v>513500</v>
      </c>
      <c r="D298" s="55"/>
      <c r="E298" s="13"/>
      <c r="F298" s="55"/>
      <c r="G298" s="55"/>
      <c r="H298" s="13">
        <f t="shared" si="6"/>
        <v>513500</v>
      </c>
      <c r="I298" s="18" t="s">
        <v>297</v>
      </c>
    </row>
    <row r="299" spans="1:9" ht="28.5">
      <c r="A299" s="61"/>
      <c r="B299" s="11" t="s">
        <v>298</v>
      </c>
      <c r="C299" s="13">
        <f>1543058.69-510000</f>
        <v>1033058.69</v>
      </c>
      <c r="D299" s="55"/>
      <c r="E299" s="13">
        <v>1033058.69</v>
      </c>
      <c r="F299" s="55"/>
      <c r="G299" s="55"/>
      <c r="H299" s="13">
        <f t="shared" si="6"/>
        <v>0</v>
      </c>
      <c r="I299" s="52" t="s">
        <v>25</v>
      </c>
    </row>
    <row r="300" spans="1:9" ht="14.25">
      <c r="A300" s="61"/>
      <c r="B300" s="11" t="s">
        <v>299</v>
      </c>
      <c r="C300" s="13">
        <v>90000</v>
      </c>
      <c r="D300" s="55"/>
      <c r="E300" s="13">
        <v>90000</v>
      </c>
      <c r="F300" s="55"/>
      <c r="G300" s="55"/>
      <c r="H300" s="13">
        <f t="shared" si="6"/>
        <v>0</v>
      </c>
      <c r="I300" s="52"/>
    </row>
    <row r="301" spans="1:9" ht="28.5">
      <c r="A301" s="61"/>
      <c r="B301" s="11" t="s">
        <v>300</v>
      </c>
      <c r="C301" s="14">
        <v>191500</v>
      </c>
      <c r="D301" s="55"/>
      <c r="E301" s="13">
        <v>191500</v>
      </c>
      <c r="F301" s="55"/>
      <c r="G301" s="55"/>
      <c r="H301" s="13">
        <f t="shared" si="6"/>
        <v>0</v>
      </c>
      <c r="I301" s="52" t="s">
        <v>10</v>
      </c>
    </row>
    <row r="302" spans="1:9" ht="14.25">
      <c r="A302" s="61"/>
      <c r="B302" s="11" t="s">
        <v>301</v>
      </c>
      <c r="C302" s="14">
        <v>12618928.35</v>
      </c>
      <c r="D302" s="55"/>
      <c r="E302" s="13">
        <v>12618628.35</v>
      </c>
      <c r="F302" s="55"/>
      <c r="G302" s="55"/>
      <c r="H302" s="13">
        <f t="shared" si="6"/>
        <v>300</v>
      </c>
      <c r="I302" s="52"/>
    </row>
    <row r="303" spans="1:9" ht="28.5">
      <c r="A303" s="61"/>
      <c r="B303" s="11" t="s">
        <v>302</v>
      </c>
      <c r="C303" s="14">
        <v>1485639.48</v>
      </c>
      <c r="D303" s="55"/>
      <c r="E303" s="13">
        <v>1485639.48</v>
      </c>
      <c r="F303" s="55"/>
      <c r="G303" s="55"/>
      <c r="H303" s="13">
        <f t="shared" si="6"/>
        <v>0</v>
      </c>
      <c r="I303" s="52"/>
    </row>
    <row r="304" spans="1:9" ht="14.25">
      <c r="A304" s="61"/>
      <c r="B304" s="11" t="s">
        <v>303</v>
      </c>
      <c r="C304" s="14">
        <v>87440.74</v>
      </c>
      <c r="D304" s="55"/>
      <c r="E304" s="13">
        <v>87440.74</v>
      </c>
      <c r="F304" s="55"/>
      <c r="G304" s="55"/>
      <c r="H304" s="13">
        <f t="shared" si="6"/>
        <v>0</v>
      </c>
      <c r="I304" s="52"/>
    </row>
    <row r="305" spans="1:9" ht="57">
      <c r="A305" s="61"/>
      <c r="B305" s="23" t="s">
        <v>304</v>
      </c>
      <c r="C305" s="13">
        <v>4000000</v>
      </c>
      <c r="D305" s="55"/>
      <c r="E305" s="13"/>
      <c r="F305" s="55"/>
      <c r="G305" s="55"/>
      <c r="H305" s="13">
        <f t="shared" si="6"/>
        <v>4000000</v>
      </c>
      <c r="I305" s="24" t="s">
        <v>305</v>
      </c>
    </row>
    <row r="306" spans="1:9" ht="42.75">
      <c r="A306" s="61"/>
      <c r="B306" s="23" t="s">
        <v>306</v>
      </c>
      <c r="C306" s="13">
        <v>9320000</v>
      </c>
      <c r="D306" s="55"/>
      <c r="E306" s="13">
        <v>9320000</v>
      </c>
      <c r="F306" s="55"/>
      <c r="G306" s="55"/>
      <c r="H306" s="13">
        <f t="shared" si="6"/>
        <v>0</v>
      </c>
      <c r="I306" s="24" t="s">
        <v>307</v>
      </c>
    </row>
    <row r="307" spans="1:9" ht="33" customHeight="1">
      <c r="A307" s="61"/>
      <c r="B307" s="11" t="s">
        <v>308</v>
      </c>
      <c r="C307" s="13">
        <f>18250000+6732000</f>
        <v>24982000</v>
      </c>
      <c r="D307" s="55"/>
      <c r="E307" s="13">
        <f>6732000</f>
        <v>6732000</v>
      </c>
      <c r="F307" s="55"/>
      <c r="G307" s="55"/>
      <c r="H307" s="13">
        <f t="shared" si="6"/>
        <v>18250000</v>
      </c>
      <c r="I307" s="24" t="s">
        <v>309</v>
      </c>
    </row>
    <row r="308" spans="1:9" ht="42.75">
      <c r="A308" s="61"/>
      <c r="B308" s="29" t="s">
        <v>310</v>
      </c>
      <c r="C308" s="13">
        <v>20000</v>
      </c>
      <c r="D308" s="55"/>
      <c r="E308" s="13"/>
      <c r="F308" s="55"/>
      <c r="G308" s="55"/>
      <c r="H308" s="13">
        <f t="shared" si="6"/>
        <v>20000</v>
      </c>
      <c r="I308" s="32" t="s">
        <v>311</v>
      </c>
    </row>
    <row r="309" spans="1:9" ht="14.25">
      <c r="A309" s="61"/>
      <c r="B309" s="11" t="s">
        <v>312</v>
      </c>
      <c r="C309" s="12">
        <v>370406</v>
      </c>
      <c r="D309" s="55"/>
      <c r="E309" s="13"/>
      <c r="F309" s="55"/>
      <c r="G309" s="55"/>
      <c r="H309" s="13">
        <f t="shared" si="6"/>
        <v>370406</v>
      </c>
      <c r="I309" s="18" t="s">
        <v>10</v>
      </c>
    </row>
    <row r="310" spans="1:9" ht="42.75">
      <c r="A310" s="61"/>
      <c r="B310" s="21" t="s">
        <v>313</v>
      </c>
      <c r="C310" s="13">
        <v>728400</v>
      </c>
      <c r="D310" s="55"/>
      <c r="E310" s="13">
        <v>613400</v>
      </c>
      <c r="F310" s="55"/>
      <c r="G310" s="55"/>
      <c r="H310" s="13">
        <f t="shared" si="6"/>
        <v>115000</v>
      </c>
      <c r="I310" s="18" t="s">
        <v>314</v>
      </c>
    </row>
    <row r="311" spans="1:9" ht="28.5">
      <c r="A311" s="61"/>
      <c r="B311" s="21" t="s">
        <v>315</v>
      </c>
      <c r="C311" s="22">
        <v>4522200</v>
      </c>
      <c r="D311" s="55"/>
      <c r="E311" s="13"/>
      <c r="F311" s="55"/>
      <c r="G311" s="55"/>
      <c r="H311" s="13">
        <f t="shared" si="6"/>
        <v>4522200</v>
      </c>
      <c r="I311" s="24" t="s">
        <v>316</v>
      </c>
    </row>
    <row r="312" spans="1:9" ht="28.5">
      <c r="A312" s="61"/>
      <c r="B312" s="11" t="s">
        <v>317</v>
      </c>
      <c r="C312" s="12">
        <v>38097</v>
      </c>
      <c r="D312" s="55"/>
      <c r="E312" s="13"/>
      <c r="F312" s="55"/>
      <c r="G312" s="55"/>
      <c r="H312" s="13">
        <f t="shared" si="6"/>
        <v>38097</v>
      </c>
      <c r="I312" s="18" t="s">
        <v>10</v>
      </c>
    </row>
    <row r="313" spans="1:9" ht="28.5">
      <c r="A313" s="61"/>
      <c r="B313" s="11" t="s">
        <v>318</v>
      </c>
      <c r="C313" s="13">
        <f>800000+889000+862800</f>
        <v>2551800</v>
      </c>
      <c r="D313" s="55"/>
      <c r="E313" s="13">
        <v>2551800</v>
      </c>
      <c r="F313" s="55"/>
      <c r="G313" s="55"/>
      <c r="H313" s="13">
        <f t="shared" si="6"/>
        <v>0</v>
      </c>
      <c r="I313" s="26" t="s">
        <v>319</v>
      </c>
    </row>
    <row r="314" spans="1:9" ht="14.25">
      <c r="A314" s="61" t="s">
        <v>320</v>
      </c>
      <c r="B314" s="11" t="s">
        <v>321</v>
      </c>
      <c r="C314" s="12">
        <v>200000</v>
      </c>
      <c r="D314" s="55">
        <f>SUBTOTAL(9,C315:C316)</f>
        <v>8041843.5</v>
      </c>
      <c r="E314" s="13">
        <v>200000</v>
      </c>
      <c r="F314" s="55">
        <f>SUBTOTAL(9,E315:E316)</f>
        <v>8449216.0099999998</v>
      </c>
      <c r="G314" s="55">
        <f>D314-F314</f>
        <v>-407372.50999999978</v>
      </c>
      <c r="H314" s="13">
        <f t="shared" si="6"/>
        <v>0</v>
      </c>
      <c r="I314" s="18" t="s">
        <v>10</v>
      </c>
    </row>
    <row r="315" spans="1:9" ht="14.25">
      <c r="A315" s="61"/>
      <c r="B315" s="11" t="s">
        <v>13</v>
      </c>
      <c r="C315" s="13">
        <f>5201570.83+2330547.67</f>
        <v>7532118.5</v>
      </c>
      <c r="D315" s="55"/>
      <c r="E315" s="13">
        <f>7837251.01+102240</f>
        <v>7939491.0099999998</v>
      </c>
      <c r="F315" s="55"/>
      <c r="G315" s="55"/>
      <c r="H315" s="13">
        <f t="shared" si="6"/>
        <v>-407372.50999999978</v>
      </c>
      <c r="I315" s="18" t="s">
        <v>322</v>
      </c>
    </row>
    <row r="316" spans="1:9" ht="14.25">
      <c r="A316" s="61"/>
      <c r="B316" s="11" t="s">
        <v>18</v>
      </c>
      <c r="C316" s="13">
        <v>509725</v>
      </c>
      <c r="D316" s="55"/>
      <c r="E316" s="13">
        <v>509725</v>
      </c>
      <c r="F316" s="55"/>
      <c r="G316" s="55"/>
      <c r="H316" s="13">
        <f t="shared" si="6"/>
        <v>0</v>
      </c>
      <c r="I316" s="18" t="s">
        <v>12</v>
      </c>
    </row>
    <row r="317" spans="1:9" ht="14.25">
      <c r="A317" s="61" t="s">
        <v>323</v>
      </c>
      <c r="B317" s="11" t="s">
        <v>13</v>
      </c>
      <c r="C317" s="13">
        <v>1481620.56</v>
      </c>
      <c r="D317" s="55">
        <f>SUBTOTAL(9,C317:C321)</f>
        <v>5744922.6200000001</v>
      </c>
      <c r="E317" s="13">
        <v>1930579.36</v>
      </c>
      <c r="F317" s="55">
        <f>SUBTOTAL(9,E317:E321)</f>
        <v>4747477.2300000004</v>
      </c>
      <c r="G317" s="55">
        <f>D317-F317</f>
        <v>997445.38999999966</v>
      </c>
      <c r="H317" s="13">
        <f t="shared" si="6"/>
        <v>-448958.80000000005</v>
      </c>
      <c r="I317" s="18" t="s">
        <v>12</v>
      </c>
    </row>
    <row r="318" spans="1:9" ht="14.25">
      <c r="A318" s="61"/>
      <c r="B318" s="11" t="s">
        <v>18</v>
      </c>
      <c r="C318" s="13">
        <v>161492</v>
      </c>
      <c r="D318" s="55"/>
      <c r="E318" s="13">
        <v>161492</v>
      </c>
      <c r="F318" s="55"/>
      <c r="G318" s="55"/>
      <c r="H318" s="13">
        <f t="shared" si="6"/>
        <v>0</v>
      </c>
      <c r="I318" s="18" t="s">
        <v>12</v>
      </c>
    </row>
    <row r="319" spans="1:9" ht="28.5">
      <c r="A319" s="61"/>
      <c r="B319" s="11" t="s">
        <v>324</v>
      </c>
      <c r="C319" s="13">
        <f>2059000+132000</f>
        <v>2191000</v>
      </c>
      <c r="D319" s="55"/>
      <c r="E319" s="13">
        <v>1051680</v>
      </c>
      <c r="F319" s="55"/>
      <c r="G319" s="55"/>
      <c r="H319" s="13">
        <f t="shared" si="6"/>
        <v>1139320</v>
      </c>
      <c r="I319" s="33" t="s">
        <v>325</v>
      </c>
    </row>
    <row r="320" spans="1:9" ht="14.25">
      <c r="A320" s="61"/>
      <c r="B320" s="11" t="s">
        <v>326</v>
      </c>
      <c r="C320" s="13">
        <v>10000</v>
      </c>
      <c r="D320" s="55"/>
      <c r="E320" s="13">
        <v>10000</v>
      </c>
      <c r="F320" s="55"/>
      <c r="G320" s="55"/>
      <c r="H320" s="13">
        <f t="shared" si="6"/>
        <v>0</v>
      </c>
      <c r="I320" s="18" t="s">
        <v>12</v>
      </c>
    </row>
    <row r="321" spans="1:9" ht="28.5">
      <c r="A321" s="61"/>
      <c r="B321" s="11" t="s">
        <v>327</v>
      </c>
      <c r="C321" s="13">
        <f>307084.19+1593725.87</f>
        <v>1900810.06</v>
      </c>
      <c r="D321" s="55"/>
      <c r="E321" s="13">
        <v>1593725.87</v>
      </c>
      <c r="F321" s="55"/>
      <c r="G321" s="55"/>
      <c r="H321" s="13">
        <f t="shared" si="6"/>
        <v>307084.18999999994</v>
      </c>
      <c r="I321" s="18" t="s">
        <v>328</v>
      </c>
    </row>
    <row r="322" spans="1:9" ht="14.25">
      <c r="A322" s="61" t="s">
        <v>329</v>
      </c>
      <c r="B322" s="11" t="s">
        <v>330</v>
      </c>
      <c r="C322" s="13">
        <v>1000000</v>
      </c>
      <c r="D322" s="55">
        <f>SUBTOTAL(9,C322:C357)</f>
        <v>54657671.700000003</v>
      </c>
      <c r="E322" s="13"/>
      <c r="F322" s="55">
        <f>SUBTOTAL(9,E322:E357)</f>
        <v>47667241.970000006</v>
      </c>
      <c r="G322" s="55">
        <f>D322-F322</f>
        <v>6990429.7299999967</v>
      </c>
      <c r="H322" s="13">
        <f t="shared" si="6"/>
        <v>1000000</v>
      </c>
      <c r="I322" s="18" t="s">
        <v>604</v>
      </c>
    </row>
    <row r="323" spans="1:9" ht="14.25">
      <c r="A323" s="61"/>
      <c r="B323" s="11" t="s">
        <v>331</v>
      </c>
      <c r="C323" s="13">
        <v>5440000</v>
      </c>
      <c r="D323" s="55"/>
      <c r="E323" s="13">
        <v>5440000</v>
      </c>
      <c r="F323" s="55"/>
      <c r="G323" s="55"/>
      <c r="H323" s="13">
        <f t="shared" si="6"/>
        <v>0</v>
      </c>
      <c r="I323" s="18" t="s">
        <v>12</v>
      </c>
    </row>
    <row r="324" spans="1:9" ht="28.5">
      <c r="A324" s="61"/>
      <c r="B324" s="11" t="s">
        <v>332</v>
      </c>
      <c r="C324" s="12">
        <v>1020000</v>
      </c>
      <c r="D324" s="55"/>
      <c r="E324" s="13"/>
      <c r="F324" s="55"/>
      <c r="G324" s="55"/>
      <c r="H324" s="13">
        <f t="shared" si="6"/>
        <v>1020000</v>
      </c>
      <c r="I324" s="18" t="s">
        <v>10</v>
      </c>
    </row>
    <row r="325" spans="1:9" ht="28.5">
      <c r="A325" s="61"/>
      <c r="B325" s="11" t="s">
        <v>333</v>
      </c>
      <c r="C325" s="13">
        <f>8346725.8+466793-2260925.8</f>
        <v>6552593.0000000009</v>
      </c>
      <c r="D325" s="55"/>
      <c r="E325" s="13">
        <f>6085800+64838.69</f>
        <v>6150638.6900000004</v>
      </c>
      <c r="F325" s="55"/>
      <c r="G325" s="55"/>
      <c r="H325" s="13">
        <f t="shared" si="6"/>
        <v>401954.31000000052</v>
      </c>
      <c r="I325" s="18" t="s">
        <v>334</v>
      </c>
    </row>
    <row r="326" spans="1:9" ht="28.5">
      <c r="A326" s="61"/>
      <c r="B326" s="11" t="s">
        <v>335</v>
      </c>
      <c r="C326" s="12">
        <v>2260925.7999999998</v>
      </c>
      <c r="D326" s="55"/>
      <c r="E326" s="13"/>
      <c r="F326" s="55"/>
      <c r="G326" s="55"/>
      <c r="H326" s="13">
        <f t="shared" si="6"/>
        <v>2260925.7999999998</v>
      </c>
      <c r="I326" s="18" t="s">
        <v>10</v>
      </c>
    </row>
    <row r="327" spans="1:9" ht="28.5">
      <c r="A327" s="61"/>
      <c r="B327" s="11" t="s">
        <v>336</v>
      </c>
      <c r="C327" s="13">
        <v>115000</v>
      </c>
      <c r="D327" s="55"/>
      <c r="E327" s="13">
        <v>115000</v>
      </c>
      <c r="F327" s="55"/>
      <c r="G327" s="55"/>
      <c r="H327" s="13">
        <f t="shared" si="6"/>
        <v>0</v>
      </c>
      <c r="I327" s="18" t="s">
        <v>12</v>
      </c>
    </row>
    <row r="328" spans="1:9" ht="42.75">
      <c r="A328" s="61"/>
      <c r="B328" s="11" t="s">
        <v>337</v>
      </c>
      <c r="C328" s="12">
        <v>300000</v>
      </c>
      <c r="D328" s="55"/>
      <c r="E328" s="13">
        <v>300000</v>
      </c>
      <c r="F328" s="55"/>
      <c r="G328" s="55"/>
      <c r="H328" s="13">
        <f t="shared" si="6"/>
        <v>0</v>
      </c>
      <c r="I328" s="18" t="s">
        <v>10</v>
      </c>
    </row>
    <row r="329" spans="1:9" ht="14.25">
      <c r="A329" s="61"/>
      <c r="B329" s="11" t="s">
        <v>338</v>
      </c>
      <c r="C329" s="13">
        <v>667365.30000000005</v>
      </c>
      <c r="D329" s="55"/>
      <c r="E329" s="13">
        <f>265983.9+401381.4</f>
        <v>667365.30000000005</v>
      </c>
      <c r="F329" s="55"/>
      <c r="G329" s="55"/>
      <c r="H329" s="13">
        <f t="shared" si="6"/>
        <v>0</v>
      </c>
      <c r="I329" s="18" t="s">
        <v>12</v>
      </c>
    </row>
    <row r="330" spans="1:9" ht="42.75">
      <c r="A330" s="61"/>
      <c r="B330" s="21" t="s">
        <v>339</v>
      </c>
      <c r="C330" s="13">
        <v>8000</v>
      </c>
      <c r="D330" s="55"/>
      <c r="E330" s="13">
        <v>8000</v>
      </c>
      <c r="F330" s="55"/>
      <c r="G330" s="55"/>
      <c r="H330" s="13">
        <f t="shared" si="6"/>
        <v>0</v>
      </c>
      <c r="I330" s="33" t="s">
        <v>340</v>
      </c>
    </row>
    <row r="331" spans="1:9" ht="28.5">
      <c r="A331" s="61"/>
      <c r="B331" s="11" t="s">
        <v>341</v>
      </c>
      <c r="C331" s="13">
        <v>30000</v>
      </c>
      <c r="D331" s="55"/>
      <c r="E331" s="13">
        <v>30000</v>
      </c>
      <c r="F331" s="55"/>
      <c r="G331" s="55"/>
      <c r="H331" s="13">
        <f t="shared" si="6"/>
        <v>0</v>
      </c>
      <c r="I331" s="18" t="s">
        <v>12</v>
      </c>
    </row>
    <row r="332" spans="1:9" ht="28.5">
      <c r="A332" s="61"/>
      <c r="B332" s="11" t="s">
        <v>342</v>
      </c>
      <c r="C332" s="12">
        <v>500000</v>
      </c>
      <c r="D332" s="55"/>
      <c r="E332" s="13">
        <v>500000</v>
      </c>
      <c r="F332" s="55"/>
      <c r="G332" s="55"/>
      <c r="H332" s="13">
        <f t="shared" si="6"/>
        <v>0</v>
      </c>
      <c r="I332" s="18" t="s">
        <v>10</v>
      </c>
    </row>
    <row r="333" spans="1:9" ht="14.25">
      <c r="A333" s="61"/>
      <c r="B333" s="11" t="s">
        <v>343</v>
      </c>
      <c r="C333" s="13">
        <v>150000</v>
      </c>
      <c r="D333" s="55"/>
      <c r="E333" s="13">
        <v>150000</v>
      </c>
      <c r="F333" s="55"/>
      <c r="G333" s="55"/>
      <c r="H333" s="13">
        <f t="shared" si="6"/>
        <v>0</v>
      </c>
      <c r="I333" s="18" t="s">
        <v>12</v>
      </c>
    </row>
    <row r="334" spans="1:9" ht="14.25">
      <c r="A334" s="61"/>
      <c r="B334" s="11" t="s">
        <v>344</v>
      </c>
      <c r="C334" s="13">
        <v>426000</v>
      </c>
      <c r="D334" s="55"/>
      <c r="E334" s="13">
        <v>426000</v>
      </c>
      <c r="F334" s="55"/>
      <c r="G334" s="55"/>
      <c r="H334" s="13">
        <f t="shared" si="6"/>
        <v>0</v>
      </c>
      <c r="I334" s="18" t="s">
        <v>12</v>
      </c>
    </row>
    <row r="335" spans="1:9" ht="14.25">
      <c r="A335" s="61"/>
      <c r="B335" s="11" t="s">
        <v>345</v>
      </c>
      <c r="C335" s="12">
        <v>326900</v>
      </c>
      <c r="D335" s="55"/>
      <c r="E335" s="13">
        <v>326900</v>
      </c>
      <c r="F335" s="55"/>
      <c r="G335" s="55"/>
      <c r="H335" s="13">
        <f t="shared" si="6"/>
        <v>0</v>
      </c>
      <c r="I335" s="18" t="s">
        <v>10</v>
      </c>
    </row>
    <row r="336" spans="1:9" ht="14.25">
      <c r="A336" s="61"/>
      <c r="B336" s="11" t="s">
        <v>13</v>
      </c>
      <c r="C336" s="13">
        <v>7216312.5700000003</v>
      </c>
      <c r="D336" s="55"/>
      <c r="E336" s="34">
        <v>7526917.8799999999</v>
      </c>
      <c r="F336" s="55"/>
      <c r="G336" s="55"/>
      <c r="H336" s="13">
        <f t="shared" si="6"/>
        <v>-310605.30999999959</v>
      </c>
      <c r="I336" s="18" t="s">
        <v>12</v>
      </c>
    </row>
    <row r="337" spans="1:9" ht="14.25">
      <c r="A337" s="61"/>
      <c r="B337" s="11" t="s">
        <v>18</v>
      </c>
      <c r="C337" s="13">
        <v>720000</v>
      </c>
      <c r="D337" s="55"/>
      <c r="E337" s="34">
        <v>720000</v>
      </c>
      <c r="F337" s="55"/>
      <c r="G337" s="55"/>
      <c r="H337" s="13">
        <f t="shared" si="6"/>
        <v>0</v>
      </c>
      <c r="I337" s="18" t="s">
        <v>12</v>
      </c>
    </row>
    <row r="338" spans="1:9" ht="42.75">
      <c r="A338" s="61"/>
      <c r="B338" s="21" t="s">
        <v>346</v>
      </c>
      <c r="C338" s="22">
        <v>5671600</v>
      </c>
      <c r="D338" s="55"/>
      <c r="E338" s="34">
        <v>5671600</v>
      </c>
      <c r="F338" s="55"/>
      <c r="G338" s="55"/>
      <c r="H338" s="13">
        <f t="shared" si="6"/>
        <v>0</v>
      </c>
      <c r="I338" s="36" t="s">
        <v>347</v>
      </c>
    </row>
    <row r="339" spans="1:9" ht="42.75">
      <c r="A339" s="61"/>
      <c r="B339" s="11" t="s">
        <v>348</v>
      </c>
      <c r="C339" s="13">
        <v>872733.03</v>
      </c>
      <c r="D339" s="55"/>
      <c r="E339" s="13"/>
      <c r="F339" s="55"/>
      <c r="G339" s="55"/>
      <c r="H339" s="13">
        <f t="shared" si="6"/>
        <v>872733.03</v>
      </c>
      <c r="I339" s="52" t="s">
        <v>349</v>
      </c>
    </row>
    <row r="340" spans="1:9" ht="14.25">
      <c r="A340" s="61"/>
      <c r="B340" s="11" t="s">
        <v>350</v>
      </c>
      <c r="C340" s="13">
        <v>20000</v>
      </c>
      <c r="D340" s="55"/>
      <c r="E340" s="13"/>
      <c r="F340" s="55"/>
      <c r="G340" s="55"/>
      <c r="H340" s="13">
        <f t="shared" si="6"/>
        <v>20000</v>
      </c>
      <c r="I340" s="52"/>
    </row>
    <row r="341" spans="1:9" ht="28.5">
      <c r="A341" s="61"/>
      <c r="B341" s="11" t="s">
        <v>351</v>
      </c>
      <c r="C341" s="13">
        <v>785650</v>
      </c>
      <c r="D341" s="55"/>
      <c r="E341" s="13"/>
      <c r="F341" s="55"/>
      <c r="G341" s="55"/>
      <c r="H341" s="13">
        <f t="shared" si="6"/>
        <v>785650</v>
      </c>
      <c r="I341" s="52"/>
    </row>
    <row r="342" spans="1:9" ht="28.5">
      <c r="A342" s="61"/>
      <c r="B342" s="11" t="s">
        <v>352</v>
      </c>
      <c r="C342" s="13">
        <v>459000</v>
      </c>
      <c r="D342" s="55"/>
      <c r="E342" s="13">
        <v>459000</v>
      </c>
      <c r="F342" s="55"/>
      <c r="G342" s="55"/>
      <c r="H342" s="13">
        <f t="shared" si="6"/>
        <v>0</v>
      </c>
      <c r="I342" s="52"/>
    </row>
    <row r="343" spans="1:9" ht="42.75">
      <c r="A343" s="61"/>
      <c r="B343" s="11" t="s">
        <v>353</v>
      </c>
      <c r="C343" s="13">
        <v>116698</v>
      </c>
      <c r="D343" s="55"/>
      <c r="E343" s="13"/>
      <c r="F343" s="55"/>
      <c r="G343" s="55"/>
      <c r="H343" s="13">
        <f t="shared" si="6"/>
        <v>116698</v>
      </c>
      <c r="I343" s="52"/>
    </row>
    <row r="344" spans="1:9" ht="28.5">
      <c r="A344" s="61"/>
      <c r="B344" s="11" t="s">
        <v>354</v>
      </c>
      <c r="C344" s="13">
        <v>26000</v>
      </c>
      <c r="D344" s="55"/>
      <c r="E344" s="13"/>
      <c r="F344" s="55"/>
      <c r="G344" s="55"/>
      <c r="H344" s="13">
        <f t="shared" si="6"/>
        <v>26000</v>
      </c>
      <c r="I344" s="52"/>
    </row>
    <row r="345" spans="1:9" ht="57">
      <c r="A345" s="61"/>
      <c r="B345" s="25" t="s">
        <v>355</v>
      </c>
      <c r="C345" s="13">
        <f>2203200+60000+785650</f>
        <v>3048850</v>
      </c>
      <c r="D345" s="55"/>
      <c r="E345" s="13">
        <f>1571300+60000+2203200</f>
        <v>3834500</v>
      </c>
      <c r="F345" s="55"/>
      <c r="G345" s="55"/>
      <c r="H345" s="13">
        <f t="shared" si="6"/>
        <v>-785650</v>
      </c>
      <c r="I345" s="24" t="s">
        <v>356</v>
      </c>
    </row>
    <row r="346" spans="1:9" s="1" customFormat="1" ht="14.25">
      <c r="A346" s="61"/>
      <c r="B346" s="11" t="s">
        <v>357</v>
      </c>
      <c r="C346" s="13">
        <v>12744</v>
      </c>
      <c r="D346" s="55"/>
      <c r="E346" s="13"/>
      <c r="F346" s="55"/>
      <c r="G346" s="55"/>
      <c r="H346" s="13">
        <f t="shared" si="6"/>
        <v>12744</v>
      </c>
      <c r="I346" s="18" t="s">
        <v>358</v>
      </c>
    </row>
    <row r="347" spans="1:9" ht="42.75">
      <c r="A347" s="61"/>
      <c r="B347" s="35" t="s">
        <v>359</v>
      </c>
      <c r="C347" s="13">
        <v>12240000</v>
      </c>
      <c r="D347" s="55"/>
      <c r="E347" s="13">
        <v>12240000</v>
      </c>
      <c r="F347" s="55"/>
      <c r="G347" s="55"/>
      <c r="H347" s="13">
        <f t="shared" si="6"/>
        <v>0</v>
      </c>
      <c r="I347" s="24" t="s">
        <v>360</v>
      </c>
    </row>
    <row r="348" spans="1:9" ht="14.25">
      <c r="A348" s="61"/>
      <c r="B348" s="11" t="s">
        <v>361</v>
      </c>
      <c r="C348" s="12">
        <v>24000</v>
      </c>
      <c r="D348" s="55"/>
      <c r="E348" s="13"/>
      <c r="F348" s="55"/>
      <c r="G348" s="55"/>
      <c r="H348" s="13">
        <f t="shared" si="6"/>
        <v>24000</v>
      </c>
      <c r="I348" s="18" t="s">
        <v>10</v>
      </c>
    </row>
    <row r="349" spans="1:9" ht="28.5">
      <c r="A349" s="61"/>
      <c r="B349" s="11" t="s">
        <v>362</v>
      </c>
      <c r="C349" s="13">
        <v>100000</v>
      </c>
      <c r="D349" s="55"/>
      <c r="E349" s="13">
        <v>100000</v>
      </c>
      <c r="F349" s="55"/>
      <c r="G349" s="55"/>
      <c r="H349" s="13">
        <f t="shared" si="6"/>
        <v>0</v>
      </c>
      <c r="I349" s="18" t="s">
        <v>12</v>
      </c>
    </row>
    <row r="350" spans="1:9" ht="14.25">
      <c r="A350" s="61"/>
      <c r="B350" s="11" t="s">
        <v>363</v>
      </c>
      <c r="C350" s="12">
        <v>150000</v>
      </c>
      <c r="D350" s="55"/>
      <c r="E350" s="13"/>
      <c r="F350" s="55"/>
      <c r="G350" s="55"/>
      <c r="H350" s="13">
        <f t="shared" si="6"/>
        <v>150000</v>
      </c>
      <c r="I350" s="18" t="s">
        <v>10</v>
      </c>
    </row>
    <row r="351" spans="1:9" ht="14.25">
      <c r="A351" s="61"/>
      <c r="B351" s="11" t="s">
        <v>364</v>
      </c>
      <c r="C351" s="12">
        <v>100000</v>
      </c>
      <c r="D351" s="55"/>
      <c r="E351" s="13"/>
      <c r="F351" s="55"/>
      <c r="G351" s="55"/>
      <c r="H351" s="13">
        <f t="shared" si="6"/>
        <v>100000</v>
      </c>
      <c r="I351" s="18" t="s">
        <v>10</v>
      </c>
    </row>
    <row r="352" spans="1:9" ht="28.5">
      <c r="A352" s="61"/>
      <c r="B352" s="21" t="s">
        <v>365</v>
      </c>
      <c r="C352" s="13">
        <v>221000</v>
      </c>
      <c r="D352" s="55"/>
      <c r="E352" s="13"/>
      <c r="F352" s="55"/>
      <c r="G352" s="55"/>
      <c r="H352" s="13">
        <f t="shared" ref="H352:H415" si="7">C352-E352</f>
        <v>221000</v>
      </c>
      <c r="I352" s="24" t="s">
        <v>366</v>
      </c>
    </row>
    <row r="353" spans="1:9" ht="28.5">
      <c r="A353" s="61"/>
      <c r="B353" s="21" t="s">
        <v>367</v>
      </c>
      <c r="C353" s="13">
        <v>12000</v>
      </c>
      <c r="D353" s="55"/>
      <c r="E353" s="13">
        <v>12000</v>
      </c>
      <c r="F353" s="55"/>
      <c r="G353" s="55"/>
      <c r="H353" s="13">
        <f t="shared" si="7"/>
        <v>0</v>
      </c>
      <c r="I353" s="24" t="s">
        <v>368</v>
      </c>
    </row>
    <row r="354" spans="1:9" ht="28.5">
      <c r="A354" s="61"/>
      <c r="B354" s="11" t="s">
        <v>369</v>
      </c>
      <c r="C354" s="13">
        <v>620000</v>
      </c>
      <c r="D354" s="55"/>
      <c r="E354" s="13"/>
      <c r="F354" s="55"/>
      <c r="G354" s="55"/>
      <c r="H354" s="13">
        <f t="shared" si="7"/>
        <v>620000</v>
      </c>
      <c r="I354" s="18" t="s">
        <v>12</v>
      </c>
    </row>
    <row r="355" spans="1:9" ht="28.5">
      <c r="A355" s="61"/>
      <c r="B355" s="11" t="s">
        <v>370</v>
      </c>
      <c r="C355" s="13">
        <v>960000</v>
      </c>
      <c r="D355" s="55"/>
      <c r="E355" s="13">
        <v>960000</v>
      </c>
      <c r="F355" s="55"/>
      <c r="G355" s="55"/>
      <c r="H355" s="13">
        <f t="shared" si="7"/>
        <v>0</v>
      </c>
      <c r="I355" s="18" t="s">
        <v>12</v>
      </c>
    </row>
    <row r="356" spans="1:9" ht="42.75">
      <c r="A356" s="61"/>
      <c r="B356" s="11" t="s">
        <v>371</v>
      </c>
      <c r="C356" s="13">
        <f>2016500+243100+221000</f>
        <v>2480600</v>
      </c>
      <c r="D356" s="55"/>
      <c r="E356" s="13">
        <v>2029320.1</v>
      </c>
      <c r="F356" s="55"/>
      <c r="G356" s="55"/>
      <c r="H356" s="13">
        <f t="shared" si="7"/>
        <v>451279.89999999991</v>
      </c>
      <c r="I356" s="24" t="s">
        <v>372</v>
      </c>
    </row>
    <row r="357" spans="1:9" ht="14.25">
      <c r="A357" s="61"/>
      <c r="B357" s="11" t="s">
        <v>373</v>
      </c>
      <c r="C357" s="13">
        <v>3700</v>
      </c>
      <c r="D357" s="55"/>
      <c r="E357" s="13"/>
      <c r="F357" s="55"/>
      <c r="G357" s="55"/>
      <c r="H357" s="13">
        <f t="shared" si="7"/>
        <v>3700</v>
      </c>
      <c r="I357" s="18" t="s">
        <v>12</v>
      </c>
    </row>
    <row r="358" spans="1:9" ht="14.25">
      <c r="A358" s="61"/>
      <c r="B358" s="11" t="s">
        <v>374</v>
      </c>
      <c r="C358" s="12">
        <v>797001</v>
      </c>
      <c r="D358" s="55"/>
      <c r="E358" s="13">
        <f>200000+597001</f>
        <v>797001</v>
      </c>
      <c r="F358" s="55"/>
      <c r="G358" s="55"/>
      <c r="H358" s="13">
        <f t="shared" si="7"/>
        <v>0</v>
      </c>
      <c r="I358" s="18" t="s">
        <v>10</v>
      </c>
    </row>
    <row r="359" spans="1:9" ht="14.25">
      <c r="A359" s="61"/>
      <c r="B359" s="11" t="s">
        <v>375</v>
      </c>
      <c r="C359" s="12">
        <v>2010000</v>
      </c>
      <c r="D359" s="55"/>
      <c r="E359" s="13">
        <v>500000</v>
      </c>
      <c r="F359" s="55"/>
      <c r="G359" s="55"/>
      <c r="H359" s="13">
        <f t="shared" si="7"/>
        <v>1510000</v>
      </c>
      <c r="I359" s="18" t="s">
        <v>10</v>
      </c>
    </row>
    <row r="360" spans="1:9" ht="14.25">
      <c r="A360" s="61" t="s">
        <v>376</v>
      </c>
      <c r="B360" s="11" t="s">
        <v>13</v>
      </c>
      <c r="C360" s="13">
        <v>1919463.72</v>
      </c>
      <c r="D360" s="55">
        <f>SUBTOTAL(9,C360:C365)</f>
        <v>7378974.6799999997</v>
      </c>
      <c r="E360" s="13">
        <v>2039827.42</v>
      </c>
      <c r="F360" s="55">
        <f>SUBTOTAL(9,E360:E365)</f>
        <v>3899198.38</v>
      </c>
      <c r="G360" s="55">
        <f>D360-F360</f>
        <v>3479776.3</v>
      </c>
      <c r="H360" s="13">
        <f t="shared" si="7"/>
        <v>-120363.69999999995</v>
      </c>
      <c r="I360" s="18" t="s">
        <v>12</v>
      </c>
    </row>
    <row r="361" spans="1:9" ht="14.25">
      <c r="A361" s="61"/>
      <c r="B361" s="11" t="s">
        <v>18</v>
      </c>
      <c r="C361" s="13">
        <v>240000</v>
      </c>
      <c r="D361" s="55"/>
      <c r="E361" s="13">
        <v>240000</v>
      </c>
      <c r="F361" s="55"/>
      <c r="G361" s="55"/>
      <c r="H361" s="13">
        <f t="shared" si="7"/>
        <v>0</v>
      </c>
      <c r="I361" s="18" t="s">
        <v>12</v>
      </c>
    </row>
    <row r="362" spans="1:9" ht="28.5">
      <c r="A362" s="61"/>
      <c r="B362" s="11" t="s">
        <v>377</v>
      </c>
      <c r="C362" s="14">
        <v>89370.96</v>
      </c>
      <c r="D362" s="55"/>
      <c r="E362" s="13">
        <v>89370.96</v>
      </c>
      <c r="F362" s="55"/>
      <c r="G362" s="55"/>
      <c r="H362" s="13">
        <f t="shared" si="7"/>
        <v>0</v>
      </c>
      <c r="I362" s="18" t="s">
        <v>10</v>
      </c>
    </row>
    <row r="363" spans="1:9" ht="14.25">
      <c r="A363" s="61"/>
      <c r="B363" s="11" t="s">
        <v>378</v>
      </c>
      <c r="C363" s="13">
        <v>1530000</v>
      </c>
      <c r="D363" s="55"/>
      <c r="E363" s="13">
        <v>1530000</v>
      </c>
      <c r="F363" s="55"/>
      <c r="G363" s="55"/>
      <c r="H363" s="13">
        <f t="shared" si="7"/>
        <v>0</v>
      </c>
      <c r="I363" s="18" t="s">
        <v>297</v>
      </c>
    </row>
    <row r="364" spans="1:9" ht="14.25">
      <c r="A364" s="61"/>
      <c r="B364" s="11" t="s">
        <v>379</v>
      </c>
      <c r="C364" s="13">
        <v>3174140</v>
      </c>
      <c r="D364" s="55"/>
      <c r="E364" s="13"/>
      <c r="F364" s="55"/>
      <c r="G364" s="55"/>
      <c r="H364" s="13">
        <f t="shared" si="7"/>
        <v>3174140</v>
      </c>
      <c r="I364" s="18" t="s">
        <v>25</v>
      </c>
    </row>
    <row r="365" spans="1:9" ht="42.75">
      <c r="A365" s="61"/>
      <c r="B365" s="30" t="s">
        <v>380</v>
      </c>
      <c r="C365" s="13">
        <v>426000</v>
      </c>
      <c r="D365" s="55"/>
      <c r="E365" s="13"/>
      <c r="F365" s="55"/>
      <c r="G365" s="55"/>
      <c r="H365" s="13">
        <f t="shared" si="7"/>
        <v>426000</v>
      </c>
      <c r="I365" s="24" t="s">
        <v>381</v>
      </c>
    </row>
    <row r="366" spans="1:9" ht="14.25">
      <c r="A366" s="61"/>
      <c r="B366" s="11" t="s">
        <v>382</v>
      </c>
      <c r="C366" s="12">
        <v>500000</v>
      </c>
      <c r="D366" s="55"/>
      <c r="E366" s="13"/>
      <c r="F366" s="55"/>
      <c r="G366" s="55"/>
      <c r="H366" s="13">
        <f t="shared" si="7"/>
        <v>500000</v>
      </c>
      <c r="I366" s="18" t="s">
        <v>10</v>
      </c>
    </row>
    <row r="367" spans="1:9" ht="42.75">
      <c r="A367" s="61" t="s">
        <v>383</v>
      </c>
      <c r="B367" s="23" t="s">
        <v>384</v>
      </c>
      <c r="C367" s="13">
        <f>3036500+3763100</f>
        <v>6799600</v>
      </c>
      <c r="D367" s="55">
        <f>SUBTOTAL(9,C367:C374)</f>
        <v>71638950.789999992</v>
      </c>
      <c r="E367" s="13">
        <v>6799600</v>
      </c>
      <c r="F367" s="55">
        <f>SUBTOTAL(9,E367:E374)</f>
        <v>71868529.870000005</v>
      </c>
      <c r="G367" s="55">
        <f>D367-F367</f>
        <v>-229579.08000001311</v>
      </c>
      <c r="H367" s="13">
        <f t="shared" si="7"/>
        <v>0</v>
      </c>
      <c r="I367" s="24" t="s">
        <v>385</v>
      </c>
    </row>
    <row r="368" spans="1:9" ht="27.95" customHeight="1">
      <c r="A368" s="61"/>
      <c r="B368" s="11" t="s">
        <v>386</v>
      </c>
      <c r="C368" s="12">
        <v>6454700</v>
      </c>
      <c r="D368" s="55"/>
      <c r="E368" s="13">
        <v>6454700</v>
      </c>
      <c r="F368" s="55"/>
      <c r="G368" s="55"/>
      <c r="H368" s="13">
        <f t="shared" si="7"/>
        <v>0</v>
      </c>
      <c r="I368" s="18" t="s">
        <v>10</v>
      </c>
    </row>
    <row r="369" spans="1:9" ht="14.25">
      <c r="A369" s="61"/>
      <c r="B369" s="11" t="s">
        <v>13</v>
      </c>
      <c r="C369" s="13">
        <v>3498750.79</v>
      </c>
      <c r="D369" s="55"/>
      <c r="E369" s="13">
        <v>3728329.87</v>
      </c>
      <c r="F369" s="55"/>
      <c r="G369" s="55"/>
      <c r="H369" s="13">
        <f t="shared" si="7"/>
        <v>-229579.08000000007</v>
      </c>
      <c r="I369" s="18" t="s">
        <v>12</v>
      </c>
    </row>
    <row r="370" spans="1:9" ht="14.25">
      <c r="A370" s="61"/>
      <c r="B370" s="11" t="s">
        <v>18</v>
      </c>
      <c r="C370" s="13">
        <v>420000</v>
      </c>
      <c r="D370" s="55"/>
      <c r="E370" s="13">
        <v>420000</v>
      </c>
      <c r="F370" s="55"/>
      <c r="G370" s="55"/>
      <c r="H370" s="13">
        <f t="shared" si="7"/>
        <v>0</v>
      </c>
      <c r="I370" s="18" t="s">
        <v>12</v>
      </c>
    </row>
    <row r="371" spans="1:9" ht="57">
      <c r="A371" s="61"/>
      <c r="B371" s="21" t="s">
        <v>387</v>
      </c>
      <c r="C371" s="13">
        <v>406000</v>
      </c>
      <c r="D371" s="55"/>
      <c r="E371" s="13">
        <v>406000</v>
      </c>
      <c r="F371" s="55"/>
      <c r="G371" s="55"/>
      <c r="H371" s="13">
        <f t="shared" si="7"/>
        <v>0</v>
      </c>
      <c r="I371" s="24" t="s">
        <v>388</v>
      </c>
    </row>
    <row r="372" spans="1:9" ht="57">
      <c r="A372" s="61"/>
      <c r="B372" s="11" t="s">
        <v>266</v>
      </c>
      <c r="C372" s="13">
        <v>30000000</v>
      </c>
      <c r="D372" s="55"/>
      <c r="E372" s="13">
        <v>30000000</v>
      </c>
      <c r="F372" s="55"/>
      <c r="G372" s="55"/>
      <c r="H372" s="13">
        <f t="shared" si="7"/>
        <v>0</v>
      </c>
      <c r="I372" s="18" t="s">
        <v>12</v>
      </c>
    </row>
    <row r="373" spans="1:9" ht="28.5">
      <c r="A373" s="61"/>
      <c r="B373" s="11" t="s">
        <v>389</v>
      </c>
      <c r="C373" s="13">
        <v>7630000</v>
      </c>
      <c r="D373" s="55"/>
      <c r="E373" s="13">
        <v>7630000</v>
      </c>
      <c r="F373" s="55"/>
      <c r="G373" s="55"/>
      <c r="H373" s="13">
        <f t="shared" si="7"/>
        <v>0</v>
      </c>
      <c r="I373" s="18" t="s">
        <v>297</v>
      </c>
    </row>
    <row r="374" spans="1:9" ht="42.75">
      <c r="A374" s="61"/>
      <c r="B374" s="11" t="s">
        <v>390</v>
      </c>
      <c r="C374" s="13">
        <v>16429900</v>
      </c>
      <c r="D374" s="55"/>
      <c r="E374" s="13">
        <v>16429900</v>
      </c>
      <c r="F374" s="55"/>
      <c r="G374" s="55"/>
      <c r="H374" s="13">
        <f t="shared" si="7"/>
        <v>0</v>
      </c>
      <c r="I374" s="18" t="s">
        <v>12</v>
      </c>
    </row>
    <row r="375" spans="1:9" ht="14.25">
      <c r="A375" s="61" t="s">
        <v>391</v>
      </c>
      <c r="B375" s="11" t="s">
        <v>13</v>
      </c>
      <c r="C375" s="13">
        <v>3523799.44</v>
      </c>
      <c r="D375" s="55">
        <f>SUBTOTAL(9,C375:C381)</f>
        <v>4879742.4399999995</v>
      </c>
      <c r="E375" s="13">
        <v>3695465.38</v>
      </c>
      <c r="F375" s="55">
        <f>SUBTOTAL(9,E375:E381)</f>
        <v>4290445.38</v>
      </c>
      <c r="G375" s="55">
        <f>D375-F375</f>
        <v>589297.05999999959</v>
      </c>
      <c r="H375" s="13">
        <f t="shared" si="7"/>
        <v>-171665.93999999994</v>
      </c>
      <c r="I375" s="18" t="s">
        <v>12</v>
      </c>
    </row>
    <row r="376" spans="1:9" ht="42.75">
      <c r="A376" s="61"/>
      <c r="B376" s="11" t="s">
        <v>392</v>
      </c>
      <c r="C376" s="13">
        <v>14980</v>
      </c>
      <c r="D376" s="55"/>
      <c r="E376" s="13">
        <v>14980</v>
      </c>
      <c r="F376" s="55"/>
      <c r="G376" s="55"/>
      <c r="H376" s="13">
        <f t="shared" si="7"/>
        <v>0</v>
      </c>
      <c r="I376" s="18" t="s">
        <v>393</v>
      </c>
    </row>
    <row r="377" spans="1:9" ht="14.25">
      <c r="A377" s="61"/>
      <c r="B377" s="11" t="s">
        <v>18</v>
      </c>
      <c r="C377" s="13">
        <v>430000</v>
      </c>
      <c r="D377" s="55"/>
      <c r="E377" s="13">
        <v>430000</v>
      </c>
      <c r="F377" s="55"/>
      <c r="G377" s="55"/>
      <c r="H377" s="13">
        <f t="shared" si="7"/>
        <v>0</v>
      </c>
      <c r="I377" s="18" t="s">
        <v>12</v>
      </c>
    </row>
    <row r="378" spans="1:9" ht="28.5">
      <c r="A378" s="61"/>
      <c r="B378" s="11" t="s">
        <v>394</v>
      </c>
      <c r="C378" s="12">
        <v>400000</v>
      </c>
      <c r="D378" s="55"/>
      <c r="E378" s="13"/>
      <c r="F378" s="55"/>
      <c r="G378" s="55"/>
      <c r="H378" s="13">
        <f t="shared" si="7"/>
        <v>400000</v>
      </c>
      <c r="I378" s="18" t="s">
        <v>10</v>
      </c>
    </row>
    <row r="379" spans="1:9" ht="14.25">
      <c r="A379" s="61"/>
      <c r="B379" s="11" t="s">
        <v>395</v>
      </c>
      <c r="C379" s="13">
        <f>204448+87515</f>
        <v>291963</v>
      </c>
      <c r="D379" s="55"/>
      <c r="E379" s="13"/>
      <c r="F379" s="55"/>
      <c r="G379" s="55"/>
      <c r="H379" s="13">
        <f t="shared" si="7"/>
        <v>291963</v>
      </c>
      <c r="I379" s="18" t="s">
        <v>25</v>
      </c>
    </row>
    <row r="380" spans="1:9" ht="14.25">
      <c r="A380" s="61"/>
      <c r="B380" s="11" t="s">
        <v>396</v>
      </c>
      <c r="C380" s="12">
        <v>150000</v>
      </c>
      <c r="D380" s="55"/>
      <c r="E380" s="13">
        <v>150000</v>
      </c>
      <c r="F380" s="55"/>
      <c r="G380" s="55"/>
      <c r="H380" s="13">
        <f t="shared" si="7"/>
        <v>0</v>
      </c>
      <c r="I380" s="18" t="s">
        <v>10</v>
      </c>
    </row>
    <row r="381" spans="1:9" ht="14.25">
      <c r="A381" s="61"/>
      <c r="B381" s="11" t="s">
        <v>397</v>
      </c>
      <c r="C381" s="13">
        <v>69000</v>
      </c>
      <c r="D381" s="55"/>
      <c r="E381" s="13"/>
      <c r="F381" s="55"/>
      <c r="G381" s="55"/>
      <c r="H381" s="13">
        <f t="shared" si="7"/>
        <v>69000</v>
      </c>
      <c r="I381" s="18" t="s">
        <v>12</v>
      </c>
    </row>
    <row r="382" spans="1:9" ht="28.5">
      <c r="A382" s="61" t="s">
        <v>398</v>
      </c>
      <c r="B382" s="11" t="s">
        <v>399</v>
      </c>
      <c r="C382" s="13">
        <f>9130860+207360-1826160</f>
        <v>7512060</v>
      </c>
      <c r="D382" s="55">
        <f>SUBTOTAL(9,C382:C405)</f>
        <v>79625080.430000007</v>
      </c>
      <c r="E382" s="13">
        <v>7304700</v>
      </c>
      <c r="F382" s="55">
        <f>SUBTOTAL(9,E382:E405)</f>
        <v>54298263.950000003</v>
      </c>
      <c r="G382" s="55">
        <f>D382-F382</f>
        <v>25326816.480000004</v>
      </c>
      <c r="H382" s="13">
        <f t="shared" si="7"/>
        <v>207360</v>
      </c>
      <c r="I382" s="31" t="s">
        <v>400</v>
      </c>
    </row>
    <row r="383" spans="1:9" ht="28.5">
      <c r="A383" s="61"/>
      <c r="B383" s="11" t="s">
        <v>401</v>
      </c>
      <c r="C383" s="12">
        <v>1826160</v>
      </c>
      <c r="D383" s="55"/>
      <c r="E383" s="13"/>
      <c r="F383" s="55"/>
      <c r="G383" s="55"/>
      <c r="H383" s="13">
        <f t="shared" si="7"/>
        <v>1826160</v>
      </c>
      <c r="I383" s="31" t="s">
        <v>10</v>
      </c>
    </row>
    <row r="384" spans="1:9" ht="28.5">
      <c r="A384" s="61"/>
      <c r="B384" s="11" t="s">
        <v>402</v>
      </c>
      <c r="C384" s="13">
        <f>457840+15500-32640</f>
        <v>440700</v>
      </c>
      <c r="D384" s="55"/>
      <c r="E384" s="13"/>
      <c r="F384" s="55"/>
      <c r="G384" s="55"/>
      <c r="H384" s="13">
        <f t="shared" si="7"/>
        <v>440700</v>
      </c>
      <c r="I384" s="31" t="s">
        <v>403</v>
      </c>
    </row>
    <row r="385" spans="1:9" ht="28.5">
      <c r="A385" s="61"/>
      <c r="B385" s="11" t="s">
        <v>404</v>
      </c>
      <c r="C385" s="12">
        <v>32640</v>
      </c>
      <c r="D385" s="55"/>
      <c r="E385" s="13"/>
      <c r="F385" s="55"/>
      <c r="G385" s="55"/>
      <c r="H385" s="13">
        <f t="shared" si="7"/>
        <v>32640</v>
      </c>
      <c r="I385" s="31" t="s">
        <v>10</v>
      </c>
    </row>
    <row r="386" spans="1:9" ht="14.25">
      <c r="A386" s="61"/>
      <c r="B386" s="11" t="s">
        <v>405</v>
      </c>
      <c r="C386" s="13">
        <v>1243621</v>
      </c>
      <c r="D386" s="55"/>
      <c r="E386" s="13">
        <v>1243621</v>
      </c>
      <c r="F386" s="55"/>
      <c r="G386" s="55"/>
      <c r="H386" s="13">
        <f t="shared" si="7"/>
        <v>0</v>
      </c>
      <c r="I386" s="18" t="s">
        <v>25</v>
      </c>
    </row>
    <row r="387" spans="1:9" ht="28.5">
      <c r="A387" s="61"/>
      <c r="B387" s="11" t="s">
        <v>13</v>
      </c>
      <c r="C387" s="13">
        <f>41120+2806374.94</f>
        <v>2847494.94</v>
      </c>
      <c r="D387" s="55"/>
      <c r="E387" s="34">
        <v>3470979.95</v>
      </c>
      <c r="F387" s="55"/>
      <c r="G387" s="55"/>
      <c r="H387" s="13">
        <f t="shared" si="7"/>
        <v>-623485.01000000024</v>
      </c>
      <c r="I387" s="18" t="s">
        <v>406</v>
      </c>
    </row>
    <row r="388" spans="1:9" ht="14.25">
      <c r="A388" s="61"/>
      <c r="B388" s="11" t="s">
        <v>18</v>
      </c>
      <c r="C388" s="13">
        <v>400000</v>
      </c>
      <c r="D388" s="55"/>
      <c r="E388" s="34">
        <v>400000</v>
      </c>
      <c r="F388" s="55"/>
      <c r="G388" s="55"/>
      <c r="H388" s="13">
        <f t="shared" si="7"/>
        <v>0</v>
      </c>
      <c r="I388" s="18" t="s">
        <v>12</v>
      </c>
    </row>
    <row r="389" spans="1:9" ht="28.5">
      <c r="A389" s="61"/>
      <c r="B389" s="11" t="s">
        <v>407</v>
      </c>
      <c r="C389" s="14">
        <v>1784806.09</v>
      </c>
      <c r="D389" s="55"/>
      <c r="E389" s="13">
        <v>1197000</v>
      </c>
      <c r="F389" s="55"/>
      <c r="G389" s="55"/>
      <c r="H389" s="13">
        <f t="shared" si="7"/>
        <v>587806.09000000008</v>
      </c>
      <c r="I389" s="18" t="s">
        <v>10</v>
      </c>
    </row>
    <row r="390" spans="1:9" ht="42.75">
      <c r="A390" s="61"/>
      <c r="B390" s="21" t="s">
        <v>408</v>
      </c>
      <c r="C390" s="13">
        <v>3052700</v>
      </c>
      <c r="D390" s="55"/>
      <c r="E390" s="13">
        <v>4410100</v>
      </c>
      <c r="F390" s="55"/>
      <c r="G390" s="55"/>
      <c r="H390" s="13">
        <f t="shared" si="7"/>
        <v>-1357400</v>
      </c>
      <c r="I390" s="24" t="s">
        <v>409</v>
      </c>
    </row>
    <row r="391" spans="1:9" ht="14.25">
      <c r="A391" s="61"/>
      <c r="B391" s="11" t="s">
        <v>410</v>
      </c>
      <c r="C391" s="13">
        <v>217518</v>
      </c>
      <c r="D391" s="55"/>
      <c r="E391" s="13">
        <v>217518</v>
      </c>
      <c r="F391" s="55"/>
      <c r="G391" s="55"/>
      <c r="H391" s="13">
        <f t="shared" si="7"/>
        <v>0</v>
      </c>
      <c r="I391" s="18" t="s">
        <v>12</v>
      </c>
    </row>
    <row r="392" spans="1:9" ht="66.95" customHeight="1">
      <c r="A392" s="61"/>
      <c r="B392" s="30" t="s">
        <v>411</v>
      </c>
      <c r="C392" s="13">
        <v>1400000</v>
      </c>
      <c r="D392" s="55"/>
      <c r="E392" s="13">
        <v>1400000</v>
      </c>
      <c r="F392" s="55"/>
      <c r="G392" s="55"/>
      <c r="H392" s="13">
        <f t="shared" si="7"/>
        <v>0</v>
      </c>
      <c r="I392" s="24" t="s">
        <v>412</v>
      </c>
    </row>
    <row r="393" spans="1:9" ht="27" customHeight="1">
      <c r="A393" s="61"/>
      <c r="B393" s="11" t="s">
        <v>413</v>
      </c>
      <c r="C393" s="12">
        <v>180000</v>
      </c>
      <c r="D393" s="55"/>
      <c r="E393" s="13">
        <v>175200</v>
      </c>
      <c r="F393" s="55"/>
      <c r="G393" s="55"/>
      <c r="H393" s="13">
        <f t="shared" si="7"/>
        <v>4800</v>
      </c>
      <c r="I393" s="18" t="s">
        <v>10</v>
      </c>
    </row>
    <row r="394" spans="1:9" ht="57">
      <c r="A394" s="61"/>
      <c r="B394" s="29" t="s">
        <v>414</v>
      </c>
      <c r="C394" s="13">
        <f>58100+220</f>
        <v>58320</v>
      </c>
      <c r="D394" s="55"/>
      <c r="E394" s="13">
        <v>58320</v>
      </c>
      <c r="F394" s="55"/>
      <c r="G394" s="55"/>
      <c r="H394" s="13">
        <f t="shared" si="7"/>
        <v>0</v>
      </c>
      <c r="I394" s="32" t="s">
        <v>415</v>
      </c>
    </row>
    <row r="395" spans="1:9" ht="28.5">
      <c r="A395" s="61"/>
      <c r="B395" s="11" t="s">
        <v>416</v>
      </c>
      <c r="C395" s="13">
        <v>1357400</v>
      </c>
      <c r="D395" s="55"/>
      <c r="E395" s="13">
        <v>1357400</v>
      </c>
      <c r="F395" s="55"/>
      <c r="G395" s="55"/>
      <c r="H395" s="13">
        <f t="shared" si="7"/>
        <v>0</v>
      </c>
      <c r="I395" s="18" t="s">
        <v>12</v>
      </c>
    </row>
    <row r="396" spans="1:9" ht="28.5">
      <c r="A396" s="61"/>
      <c r="B396" s="11" t="s">
        <v>417</v>
      </c>
      <c r="C396" s="13">
        <v>661800</v>
      </c>
      <c r="D396" s="55"/>
      <c r="E396" s="13">
        <v>661800</v>
      </c>
      <c r="F396" s="55"/>
      <c r="G396" s="55"/>
      <c r="H396" s="13">
        <f t="shared" si="7"/>
        <v>0</v>
      </c>
      <c r="I396" s="18" t="s">
        <v>12</v>
      </c>
    </row>
    <row r="397" spans="1:9" ht="28.5">
      <c r="A397" s="61"/>
      <c r="B397" s="11" t="s">
        <v>418</v>
      </c>
      <c r="C397" s="12">
        <v>2905596.4</v>
      </c>
      <c r="D397" s="55"/>
      <c r="E397" s="13"/>
      <c r="F397" s="55"/>
      <c r="G397" s="55"/>
      <c r="H397" s="13">
        <f t="shared" si="7"/>
        <v>2905596.4</v>
      </c>
      <c r="I397" s="18" t="s">
        <v>10</v>
      </c>
    </row>
    <row r="398" spans="1:9" ht="14.25">
      <c r="A398" s="61"/>
      <c r="B398" s="11" t="s">
        <v>419</v>
      </c>
      <c r="C398" s="12">
        <v>195100</v>
      </c>
      <c r="D398" s="55"/>
      <c r="E398" s="13"/>
      <c r="F398" s="55"/>
      <c r="G398" s="55"/>
      <c r="H398" s="13">
        <f t="shared" si="7"/>
        <v>195100</v>
      </c>
      <c r="I398" s="18" t="s">
        <v>10</v>
      </c>
    </row>
    <row r="399" spans="1:9" ht="42.75">
      <c r="A399" s="61"/>
      <c r="B399" s="37" t="s">
        <v>420</v>
      </c>
      <c r="C399" s="13">
        <v>1037300</v>
      </c>
      <c r="D399" s="55"/>
      <c r="E399" s="13"/>
      <c r="F399" s="55"/>
      <c r="G399" s="55"/>
      <c r="H399" s="13">
        <f t="shared" si="7"/>
        <v>1037300</v>
      </c>
      <c r="I399" s="31" t="s">
        <v>421</v>
      </c>
    </row>
    <row r="400" spans="1:9" ht="42.75">
      <c r="A400" s="61"/>
      <c r="B400" s="37" t="s">
        <v>422</v>
      </c>
      <c r="C400" s="12">
        <v>2364664</v>
      </c>
      <c r="D400" s="55"/>
      <c r="E400" s="13"/>
      <c r="F400" s="55"/>
      <c r="G400" s="55"/>
      <c r="H400" s="13">
        <f t="shared" si="7"/>
        <v>2364664</v>
      </c>
      <c r="I400" s="31" t="s">
        <v>10</v>
      </c>
    </row>
    <row r="401" spans="1:9" ht="42.75">
      <c r="A401" s="61"/>
      <c r="B401" s="11" t="s">
        <v>423</v>
      </c>
      <c r="C401" s="13">
        <f>37279164+15157800-2364664</f>
        <v>50072300</v>
      </c>
      <c r="D401" s="55"/>
      <c r="E401" s="13">
        <v>32366725</v>
      </c>
      <c r="F401" s="55"/>
      <c r="G401" s="55"/>
      <c r="H401" s="13">
        <f t="shared" si="7"/>
        <v>17705575</v>
      </c>
      <c r="I401" s="24" t="s">
        <v>424</v>
      </c>
    </row>
    <row r="402" spans="1:9" ht="14.25">
      <c r="A402" s="61"/>
      <c r="B402" s="11" t="s">
        <v>425</v>
      </c>
      <c r="C402" s="13">
        <v>3400</v>
      </c>
      <c r="D402" s="55"/>
      <c r="E402" s="13">
        <v>3400</v>
      </c>
      <c r="F402" s="55"/>
      <c r="G402" s="55"/>
      <c r="H402" s="13">
        <f t="shared" si="7"/>
        <v>0</v>
      </c>
      <c r="I402" s="18" t="s">
        <v>12</v>
      </c>
    </row>
    <row r="403" spans="1:9" ht="28.5">
      <c r="A403" s="61"/>
      <c r="B403" s="11" t="s">
        <v>426</v>
      </c>
      <c r="C403" s="13">
        <v>7500</v>
      </c>
      <c r="D403" s="55"/>
      <c r="E403" s="13">
        <v>7500</v>
      </c>
      <c r="F403" s="55"/>
      <c r="G403" s="55"/>
      <c r="H403" s="13">
        <f t="shared" si="7"/>
        <v>0</v>
      </c>
      <c r="I403" s="18" t="s">
        <v>12</v>
      </c>
    </row>
    <row r="404" spans="1:9" ht="42.75">
      <c r="A404" s="61"/>
      <c r="B404" s="11" t="s">
        <v>427</v>
      </c>
      <c r="C404" s="13">
        <v>6500</v>
      </c>
      <c r="D404" s="55"/>
      <c r="E404" s="13">
        <v>6500</v>
      </c>
      <c r="F404" s="55"/>
      <c r="G404" s="55"/>
      <c r="H404" s="13">
        <f t="shared" si="7"/>
        <v>0</v>
      </c>
      <c r="I404" s="18" t="s">
        <v>12</v>
      </c>
    </row>
    <row r="405" spans="1:9" ht="28.5">
      <c r="A405" s="61"/>
      <c r="B405" s="11" t="s">
        <v>428</v>
      </c>
      <c r="C405" s="13">
        <v>17500</v>
      </c>
      <c r="D405" s="55"/>
      <c r="E405" s="13">
        <v>17500</v>
      </c>
      <c r="F405" s="55"/>
      <c r="G405" s="55"/>
      <c r="H405" s="13">
        <f t="shared" si="7"/>
        <v>0</v>
      </c>
      <c r="I405" s="18" t="s">
        <v>12</v>
      </c>
    </row>
    <row r="406" spans="1:9" ht="28.5">
      <c r="A406" s="61" t="s">
        <v>429</v>
      </c>
      <c r="B406" s="11" t="s">
        <v>13</v>
      </c>
      <c r="C406" s="13">
        <f>11967329.07+8240</f>
        <v>11975569.07</v>
      </c>
      <c r="D406" s="55">
        <f>SUBTOTAL(9,C406:C408)</f>
        <v>30025569.07</v>
      </c>
      <c r="E406" s="13">
        <v>14440088.27</v>
      </c>
      <c r="F406" s="55">
        <f>SUBTOTAL(9,E406:E408)</f>
        <v>32490088.27</v>
      </c>
      <c r="G406" s="55">
        <f>D406-F406</f>
        <v>-2464519.1999999993</v>
      </c>
      <c r="H406" s="13">
        <f t="shared" si="7"/>
        <v>-2464519.1999999993</v>
      </c>
      <c r="I406" s="18" t="s">
        <v>430</v>
      </c>
    </row>
    <row r="407" spans="1:9" ht="14.25">
      <c r="A407" s="61"/>
      <c r="B407" s="11" t="s">
        <v>431</v>
      </c>
      <c r="C407" s="13">
        <v>1250000</v>
      </c>
      <c r="D407" s="55"/>
      <c r="E407" s="13">
        <v>1250000</v>
      </c>
      <c r="F407" s="55"/>
      <c r="G407" s="55"/>
      <c r="H407" s="13">
        <f t="shared" si="7"/>
        <v>0</v>
      </c>
      <c r="I407" s="18" t="s">
        <v>12</v>
      </c>
    </row>
    <row r="408" spans="1:9" ht="28.5">
      <c r="A408" s="61"/>
      <c r="B408" s="11" t="s">
        <v>432</v>
      </c>
      <c r="C408" s="13">
        <v>16800000</v>
      </c>
      <c r="D408" s="55"/>
      <c r="E408" s="13">
        <v>16800000</v>
      </c>
      <c r="F408" s="55"/>
      <c r="G408" s="55"/>
      <c r="H408" s="13">
        <f t="shared" si="7"/>
        <v>0</v>
      </c>
      <c r="I408" s="24" t="s">
        <v>433</v>
      </c>
    </row>
    <row r="409" spans="1:9" ht="14.25">
      <c r="A409" s="61"/>
      <c r="B409" s="11" t="s">
        <v>434</v>
      </c>
      <c r="C409" s="12">
        <v>978000</v>
      </c>
      <c r="D409" s="55"/>
      <c r="E409" s="13"/>
      <c r="F409" s="55"/>
      <c r="G409" s="55"/>
      <c r="H409" s="13">
        <f t="shared" si="7"/>
        <v>978000</v>
      </c>
      <c r="I409" s="18" t="s">
        <v>10</v>
      </c>
    </row>
    <row r="410" spans="1:9" ht="14.25">
      <c r="A410" s="61" t="s">
        <v>435</v>
      </c>
      <c r="B410" s="11" t="s">
        <v>436</v>
      </c>
      <c r="C410" s="13">
        <v>50000</v>
      </c>
      <c r="D410" s="55">
        <f>SUBTOTAL(9,C410:C412)</f>
        <v>1322918.51</v>
      </c>
      <c r="E410" s="13">
        <v>0</v>
      </c>
      <c r="F410" s="55">
        <f>SUBTOTAL(9,E410:E412)</f>
        <v>1341984.92</v>
      </c>
      <c r="G410" s="55">
        <f>D410-F410</f>
        <v>-19066.409999999916</v>
      </c>
      <c r="H410" s="13">
        <f t="shared" si="7"/>
        <v>50000</v>
      </c>
      <c r="I410" s="18" t="s">
        <v>25</v>
      </c>
    </row>
    <row r="411" spans="1:9" ht="14.25">
      <c r="A411" s="61"/>
      <c r="B411" s="11" t="s">
        <v>13</v>
      </c>
      <c r="C411" s="13">
        <v>1172918.51</v>
      </c>
      <c r="D411" s="55"/>
      <c r="E411" s="13">
        <v>1241984.92</v>
      </c>
      <c r="F411" s="55"/>
      <c r="G411" s="55"/>
      <c r="H411" s="13">
        <f t="shared" si="7"/>
        <v>-69066.409999999916</v>
      </c>
      <c r="I411" s="18" t="s">
        <v>12</v>
      </c>
    </row>
    <row r="412" spans="1:9" ht="14.25">
      <c r="A412" s="61"/>
      <c r="B412" s="11" t="s">
        <v>431</v>
      </c>
      <c r="C412" s="13">
        <v>100000</v>
      </c>
      <c r="D412" s="55"/>
      <c r="E412" s="13">
        <v>100000</v>
      </c>
      <c r="F412" s="55"/>
      <c r="G412" s="55"/>
      <c r="H412" s="13">
        <f t="shared" si="7"/>
        <v>0</v>
      </c>
      <c r="I412" s="18" t="s">
        <v>12</v>
      </c>
    </row>
    <row r="413" spans="1:9" ht="14.25">
      <c r="A413" s="61" t="s">
        <v>437</v>
      </c>
      <c r="B413" s="11" t="s">
        <v>438</v>
      </c>
      <c r="C413" s="13">
        <v>500000</v>
      </c>
      <c r="D413" s="55">
        <f>SUBTOTAL(9,C413:C423)</f>
        <v>22764750.869999997</v>
      </c>
      <c r="E413" s="13">
        <v>0</v>
      </c>
      <c r="F413" s="55">
        <f>SUBTOTAL(9,E413:E423)</f>
        <v>4563247.67</v>
      </c>
      <c r="G413" s="55">
        <f>D413-F413</f>
        <v>18201503.199999996</v>
      </c>
      <c r="H413" s="13">
        <f t="shared" si="7"/>
        <v>500000</v>
      </c>
      <c r="I413" s="52" t="s">
        <v>25</v>
      </c>
    </row>
    <row r="414" spans="1:9" ht="28.5">
      <c r="A414" s="61"/>
      <c r="B414" s="38" t="s">
        <v>439</v>
      </c>
      <c r="C414" s="13">
        <v>152600</v>
      </c>
      <c r="D414" s="55"/>
      <c r="E414" s="13">
        <v>0</v>
      </c>
      <c r="F414" s="55"/>
      <c r="G414" s="55"/>
      <c r="H414" s="13">
        <f t="shared" si="7"/>
        <v>152600</v>
      </c>
      <c r="I414" s="52"/>
    </row>
    <row r="415" spans="1:9" ht="14.25">
      <c r="A415" s="61"/>
      <c r="B415" s="38" t="s">
        <v>440</v>
      </c>
      <c r="C415" s="13">
        <v>228446.37</v>
      </c>
      <c r="D415" s="55"/>
      <c r="E415" s="13"/>
      <c r="F415" s="55"/>
      <c r="G415" s="55"/>
      <c r="H415" s="13">
        <f t="shared" si="7"/>
        <v>228446.37</v>
      </c>
      <c r="I415" s="52"/>
    </row>
    <row r="416" spans="1:9" ht="14.25">
      <c r="A416" s="61"/>
      <c r="B416" s="39" t="s">
        <v>441</v>
      </c>
      <c r="C416" s="13">
        <v>127800</v>
      </c>
      <c r="D416" s="55"/>
      <c r="E416" s="13">
        <v>0</v>
      </c>
      <c r="F416" s="55"/>
      <c r="G416" s="55"/>
      <c r="H416" s="13">
        <f t="shared" ref="H416:H451" si="8">C416-E416</f>
        <v>127800</v>
      </c>
      <c r="I416" s="52"/>
    </row>
    <row r="417" spans="1:9" ht="14.25">
      <c r="A417" s="61"/>
      <c r="B417" s="11" t="s">
        <v>442</v>
      </c>
      <c r="C417" s="13">
        <v>150000</v>
      </c>
      <c r="D417" s="55"/>
      <c r="E417" s="13">
        <v>150000</v>
      </c>
      <c r="F417" s="55"/>
      <c r="G417" s="55"/>
      <c r="H417" s="13">
        <f t="shared" si="8"/>
        <v>0</v>
      </c>
      <c r="I417" s="18" t="s">
        <v>443</v>
      </c>
    </row>
    <row r="418" spans="1:9" ht="14.25">
      <c r="A418" s="61"/>
      <c r="B418" s="11" t="s">
        <v>444</v>
      </c>
      <c r="C418" s="13">
        <v>150000</v>
      </c>
      <c r="D418" s="55"/>
      <c r="E418" s="13">
        <v>150000</v>
      </c>
      <c r="F418" s="55"/>
      <c r="G418" s="55"/>
      <c r="H418" s="13">
        <f t="shared" si="8"/>
        <v>0</v>
      </c>
      <c r="I418" s="18" t="s">
        <v>443</v>
      </c>
    </row>
    <row r="419" spans="1:9" ht="28.5">
      <c r="A419" s="61"/>
      <c r="B419" s="11" t="s">
        <v>13</v>
      </c>
      <c r="C419" s="13">
        <f>3331777.9+17600</f>
        <v>3349377.9</v>
      </c>
      <c r="D419" s="55"/>
      <c r="E419" s="13">
        <v>3822383.67</v>
      </c>
      <c r="F419" s="55"/>
      <c r="G419" s="55"/>
      <c r="H419" s="13">
        <f t="shared" si="8"/>
        <v>-473005.77</v>
      </c>
      <c r="I419" s="18" t="s">
        <v>445</v>
      </c>
    </row>
    <row r="420" spans="1:9" ht="14.25">
      <c r="A420" s="61"/>
      <c r="B420" s="11" t="s">
        <v>431</v>
      </c>
      <c r="C420" s="13">
        <v>380000</v>
      </c>
      <c r="D420" s="55"/>
      <c r="E420" s="13">
        <v>380000</v>
      </c>
      <c r="F420" s="55"/>
      <c r="G420" s="55"/>
      <c r="H420" s="13">
        <f t="shared" si="8"/>
        <v>0</v>
      </c>
      <c r="I420" s="18" t="s">
        <v>12</v>
      </c>
    </row>
    <row r="421" spans="1:9" ht="28.5">
      <c r="A421" s="61"/>
      <c r="B421" s="11" t="s">
        <v>446</v>
      </c>
      <c r="C421" s="13">
        <f>3200+8857300</f>
        <v>8860500</v>
      </c>
      <c r="D421" s="55"/>
      <c r="E421" s="13">
        <f>3100+49400</f>
        <v>52500</v>
      </c>
      <c r="F421" s="55"/>
      <c r="G421" s="55"/>
      <c r="H421" s="13">
        <f t="shared" si="8"/>
        <v>8808000</v>
      </c>
      <c r="I421" s="18" t="s">
        <v>447</v>
      </c>
    </row>
    <row r="422" spans="1:9" ht="14.25">
      <c r="A422" s="61"/>
      <c r="B422" s="11" t="s">
        <v>448</v>
      </c>
      <c r="C422" s="13">
        <v>8857662.5999999996</v>
      </c>
      <c r="D422" s="55"/>
      <c r="E422" s="13"/>
      <c r="F422" s="55"/>
      <c r="G422" s="55"/>
      <c r="H422" s="13">
        <f t="shared" si="8"/>
        <v>8857662.5999999996</v>
      </c>
      <c r="I422" s="18" t="s">
        <v>604</v>
      </c>
    </row>
    <row r="423" spans="1:9" ht="28.5">
      <c r="A423" s="61"/>
      <c r="B423" s="11" t="s">
        <v>449</v>
      </c>
      <c r="C423" s="13">
        <v>8364</v>
      </c>
      <c r="D423" s="55"/>
      <c r="E423" s="13">
        <v>8364</v>
      </c>
      <c r="F423" s="55"/>
      <c r="G423" s="55"/>
      <c r="H423" s="13">
        <f t="shared" si="8"/>
        <v>0</v>
      </c>
      <c r="I423" s="18" t="s">
        <v>358</v>
      </c>
    </row>
    <row r="424" spans="1:9" ht="14.25">
      <c r="A424" s="61"/>
      <c r="B424" s="11" t="s">
        <v>450</v>
      </c>
      <c r="C424" s="14">
        <v>1000000</v>
      </c>
      <c r="D424" s="55"/>
      <c r="E424" s="13"/>
      <c r="F424" s="55"/>
      <c r="G424" s="55"/>
      <c r="H424" s="13">
        <f t="shared" si="8"/>
        <v>1000000</v>
      </c>
      <c r="I424" s="18" t="s">
        <v>10</v>
      </c>
    </row>
    <row r="425" spans="1:9" ht="14.25">
      <c r="A425" s="61"/>
      <c r="B425" s="11" t="s">
        <v>451</v>
      </c>
      <c r="C425" s="12">
        <v>2000</v>
      </c>
      <c r="D425" s="55"/>
      <c r="E425" s="13"/>
      <c r="F425" s="55"/>
      <c r="G425" s="55"/>
      <c r="H425" s="13">
        <f t="shared" si="8"/>
        <v>2000</v>
      </c>
      <c r="I425" s="18" t="s">
        <v>10</v>
      </c>
    </row>
    <row r="426" spans="1:9" ht="28.5">
      <c r="A426" s="61"/>
      <c r="B426" s="11" t="s">
        <v>452</v>
      </c>
      <c r="C426" s="12">
        <v>186000</v>
      </c>
      <c r="D426" s="55"/>
      <c r="E426" s="13"/>
      <c r="F426" s="55"/>
      <c r="G426" s="55"/>
      <c r="H426" s="13">
        <f t="shared" si="8"/>
        <v>186000</v>
      </c>
      <c r="I426" s="18" t="s">
        <v>453</v>
      </c>
    </row>
    <row r="427" spans="1:9" ht="28.5">
      <c r="A427" s="61"/>
      <c r="B427" s="11" t="s">
        <v>454</v>
      </c>
      <c r="C427" s="12">
        <v>579278.96</v>
      </c>
      <c r="D427" s="55"/>
      <c r="E427" s="13">
        <v>579278.96</v>
      </c>
      <c r="F427" s="55"/>
      <c r="G427" s="55"/>
      <c r="H427" s="13">
        <f t="shared" si="8"/>
        <v>0</v>
      </c>
      <c r="I427" s="18" t="s">
        <v>10</v>
      </c>
    </row>
    <row r="428" spans="1:9" ht="28.5">
      <c r="A428" s="61" t="s">
        <v>455</v>
      </c>
      <c r="B428" s="11" t="s">
        <v>456</v>
      </c>
      <c r="C428" s="13">
        <f>4217900+527200</f>
        <v>4745100</v>
      </c>
      <c r="D428" s="55">
        <f>SUBTOTAL(9,C428:C454)</f>
        <v>79912738.549999997</v>
      </c>
      <c r="E428" s="13">
        <v>714227</v>
      </c>
      <c r="F428" s="55">
        <f>SUBTOTAL(9,E428:E454)</f>
        <v>58908591.519999996</v>
      </c>
      <c r="G428" s="55">
        <f>D428-F428</f>
        <v>21004147.030000001</v>
      </c>
      <c r="H428" s="13">
        <f t="shared" si="8"/>
        <v>4030873</v>
      </c>
      <c r="I428" s="18" t="s">
        <v>12</v>
      </c>
    </row>
    <row r="429" spans="1:9" ht="28.5">
      <c r="A429" s="61"/>
      <c r="B429" s="11" t="s">
        <v>457</v>
      </c>
      <c r="C429" s="12">
        <v>527200</v>
      </c>
      <c r="D429" s="55"/>
      <c r="E429" s="13"/>
      <c r="F429" s="55"/>
      <c r="G429" s="55"/>
      <c r="H429" s="13">
        <f t="shared" si="8"/>
        <v>527200</v>
      </c>
      <c r="I429" s="18" t="s">
        <v>10</v>
      </c>
    </row>
    <row r="430" spans="1:9" ht="14.25">
      <c r="A430" s="61"/>
      <c r="B430" s="11" t="s">
        <v>458</v>
      </c>
      <c r="C430" s="12">
        <v>88000</v>
      </c>
      <c r="D430" s="55"/>
      <c r="E430" s="13">
        <v>88000</v>
      </c>
      <c r="F430" s="55"/>
      <c r="G430" s="55"/>
      <c r="H430" s="13">
        <f t="shared" si="8"/>
        <v>0</v>
      </c>
      <c r="I430" s="18" t="s">
        <v>10</v>
      </c>
    </row>
    <row r="431" spans="1:9" ht="28.5">
      <c r="A431" s="61"/>
      <c r="B431" s="11" t="s">
        <v>459</v>
      </c>
      <c r="C431" s="13">
        <v>88000</v>
      </c>
      <c r="D431" s="55"/>
      <c r="E431" s="13">
        <v>88000</v>
      </c>
      <c r="F431" s="55"/>
      <c r="G431" s="55"/>
      <c r="H431" s="13">
        <f t="shared" si="8"/>
        <v>0</v>
      </c>
      <c r="I431" s="18" t="s">
        <v>12</v>
      </c>
    </row>
    <row r="432" spans="1:9" ht="42.75">
      <c r="A432" s="61"/>
      <c r="B432" s="11" t="s">
        <v>460</v>
      </c>
      <c r="C432" s="12">
        <v>1891700</v>
      </c>
      <c r="D432" s="55"/>
      <c r="E432" s="13">
        <v>1891700</v>
      </c>
      <c r="F432" s="55"/>
      <c r="G432" s="55"/>
      <c r="H432" s="13">
        <f t="shared" si="8"/>
        <v>0</v>
      </c>
      <c r="I432" s="18" t="s">
        <v>10</v>
      </c>
    </row>
    <row r="433" spans="1:9" ht="42.75">
      <c r="A433" s="61"/>
      <c r="B433" s="11" t="s">
        <v>461</v>
      </c>
      <c r="C433" s="13">
        <f>4534700+2771900</f>
        <v>7306600</v>
      </c>
      <c r="D433" s="55"/>
      <c r="E433" s="13">
        <v>7306600</v>
      </c>
      <c r="F433" s="55"/>
      <c r="G433" s="55"/>
      <c r="H433" s="13">
        <f t="shared" si="8"/>
        <v>0</v>
      </c>
      <c r="I433" s="18" t="s">
        <v>12</v>
      </c>
    </row>
    <row r="434" spans="1:9" ht="30" customHeight="1">
      <c r="A434" s="61"/>
      <c r="B434" s="11" t="s">
        <v>13</v>
      </c>
      <c r="C434" s="13">
        <v>25031223.550000001</v>
      </c>
      <c r="D434" s="55"/>
      <c r="E434" s="13">
        <v>26504841.52</v>
      </c>
      <c r="F434" s="55"/>
      <c r="G434" s="55"/>
      <c r="H434" s="13">
        <f t="shared" si="8"/>
        <v>-1473617.9699999988</v>
      </c>
      <c r="I434" s="18" t="s">
        <v>12</v>
      </c>
    </row>
    <row r="435" spans="1:9" ht="24" customHeight="1">
      <c r="A435" s="61"/>
      <c r="B435" s="11" t="s">
        <v>431</v>
      </c>
      <c r="C435" s="13">
        <v>3710000</v>
      </c>
      <c r="D435" s="55"/>
      <c r="E435" s="13">
        <v>3710000</v>
      </c>
      <c r="F435" s="55"/>
      <c r="G435" s="55"/>
      <c r="H435" s="13">
        <f t="shared" si="8"/>
        <v>0</v>
      </c>
      <c r="I435" s="18" t="s">
        <v>12</v>
      </c>
    </row>
    <row r="436" spans="1:9" ht="24" customHeight="1">
      <c r="A436" s="61"/>
      <c r="B436" s="11" t="s">
        <v>15</v>
      </c>
      <c r="C436" s="13">
        <f>1218000-140155</f>
        <v>1077845</v>
      </c>
      <c r="D436" s="55"/>
      <c r="E436" s="13">
        <v>827845</v>
      </c>
      <c r="F436" s="55"/>
      <c r="G436" s="55"/>
      <c r="H436" s="13">
        <f t="shared" si="8"/>
        <v>250000</v>
      </c>
      <c r="I436" s="18" t="s">
        <v>605</v>
      </c>
    </row>
    <row r="437" spans="1:9" ht="14.25">
      <c r="A437" s="61"/>
      <c r="B437" s="11" t="s">
        <v>462</v>
      </c>
      <c r="C437" s="13">
        <v>828000</v>
      </c>
      <c r="D437" s="55"/>
      <c r="E437" s="13"/>
      <c r="F437" s="55"/>
      <c r="G437" s="55"/>
      <c r="H437" s="13">
        <f t="shared" si="8"/>
        <v>828000</v>
      </c>
      <c r="I437" s="18" t="s">
        <v>25</v>
      </c>
    </row>
    <row r="438" spans="1:9" ht="42.75">
      <c r="A438" s="61"/>
      <c r="B438" s="21" t="s">
        <v>463</v>
      </c>
      <c r="C438" s="22">
        <v>318000</v>
      </c>
      <c r="D438" s="55"/>
      <c r="E438" s="13">
        <v>318000</v>
      </c>
      <c r="F438" s="55"/>
      <c r="G438" s="55"/>
      <c r="H438" s="13">
        <f t="shared" si="8"/>
        <v>0</v>
      </c>
      <c r="I438" s="24" t="s">
        <v>464</v>
      </c>
    </row>
    <row r="439" spans="1:9" ht="42.75">
      <c r="A439" s="61"/>
      <c r="B439" s="21" t="s">
        <v>465</v>
      </c>
      <c r="C439" s="22">
        <v>2000000</v>
      </c>
      <c r="D439" s="55"/>
      <c r="E439" s="13"/>
      <c r="F439" s="55"/>
      <c r="G439" s="55"/>
      <c r="H439" s="13">
        <f t="shared" si="8"/>
        <v>2000000</v>
      </c>
      <c r="I439" s="24" t="s">
        <v>466</v>
      </c>
    </row>
    <row r="440" spans="1:9" ht="42.75">
      <c r="A440" s="61"/>
      <c r="B440" s="21" t="s">
        <v>467</v>
      </c>
      <c r="C440" s="22">
        <v>600000</v>
      </c>
      <c r="D440" s="55"/>
      <c r="E440" s="13"/>
      <c r="F440" s="55"/>
      <c r="G440" s="55"/>
      <c r="H440" s="13">
        <f t="shared" si="8"/>
        <v>600000</v>
      </c>
      <c r="I440" s="24" t="s">
        <v>468</v>
      </c>
    </row>
    <row r="441" spans="1:9" ht="42.75">
      <c r="A441" s="61"/>
      <c r="B441" s="37" t="s">
        <v>469</v>
      </c>
      <c r="C441" s="22">
        <v>2430380</v>
      </c>
      <c r="D441" s="55"/>
      <c r="E441" s="13"/>
      <c r="F441" s="55"/>
      <c r="G441" s="55"/>
      <c r="H441" s="13">
        <f t="shared" si="8"/>
        <v>2430380</v>
      </c>
      <c r="I441" s="31" t="s">
        <v>470</v>
      </c>
    </row>
    <row r="442" spans="1:9" ht="42.75">
      <c r="A442" s="61"/>
      <c r="B442" s="21" t="s">
        <v>471</v>
      </c>
      <c r="C442" s="13">
        <v>300000</v>
      </c>
      <c r="D442" s="55"/>
      <c r="E442" s="13">
        <v>300000</v>
      </c>
      <c r="F442" s="55"/>
      <c r="G442" s="55"/>
      <c r="H442" s="13">
        <f t="shared" si="8"/>
        <v>0</v>
      </c>
      <c r="I442" s="31" t="s">
        <v>472</v>
      </c>
    </row>
    <row r="443" spans="1:9" ht="28.5">
      <c r="A443" s="61"/>
      <c r="B443" s="21" t="s">
        <v>473</v>
      </c>
      <c r="C443" s="13">
        <v>237290</v>
      </c>
      <c r="D443" s="55"/>
      <c r="E443" s="13">
        <v>237290</v>
      </c>
      <c r="F443" s="55"/>
      <c r="G443" s="55"/>
      <c r="H443" s="13">
        <f t="shared" si="8"/>
        <v>0</v>
      </c>
      <c r="I443" s="31" t="s">
        <v>474</v>
      </c>
    </row>
    <row r="444" spans="1:9" ht="57">
      <c r="A444" s="61"/>
      <c r="B444" s="21" t="s">
        <v>475</v>
      </c>
      <c r="C444" s="13">
        <v>4000000</v>
      </c>
      <c r="D444" s="55"/>
      <c r="E444" s="13"/>
      <c r="F444" s="55"/>
      <c r="G444" s="55"/>
      <c r="H444" s="13">
        <f t="shared" si="8"/>
        <v>4000000</v>
      </c>
      <c r="I444" s="31" t="s">
        <v>476</v>
      </c>
    </row>
    <row r="445" spans="1:9" ht="14.25">
      <c r="A445" s="61"/>
      <c r="B445" s="21" t="s">
        <v>477</v>
      </c>
      <c r="C445" s="12">
        <v>249600</v>
      </c>
      <c r="D445" s="55"/>
      <c r="E445" s="13"/>
      <c r="F445" s="55"/>
      <c r="G445" s="55"/>
      <c r="H445" s="13">
        <f t="shared" si="8"/>
        <v>249600</v>
      </c>
      <c r="I445" s="31" t="s">
        <v>10</v>
      </c>
    </row>
    <row r="446" spans="1:9" ht="14.25">
      <c r="A446" s="61"/>
      <c r="B446" s="11" t="s">
        <v>478</v>
      </c>
      <c r="C446" s="13">
        <v>1413600</v>
      </c>
      <c r="D446" s="55"/>
      <c r="E446" s="13"/>
      <c r="F446" s="55"/>
      <c r="G446" s="55"/>
      <c r="H446" s="13">
        <f t="shared" si="8"/>
        <v>1413600</v>
      </c>
      <c r="I446" s="18" t="s">
        <v>12</v>
      </c>
    </row>
    <row r="447" spans="1:9" ht="14.25">
      <c r="A447" s="61"/>
      <c r="B447" s="11" t="s">
        <v>479</v>
      </c>
      <c r="C447" s="13">
        <v>1500000</v>
      </c>
      <c r="D447" s="55"/>
      <c r="E447" s="13"/>
      <c r="F447" s="55"/>
      <c r="G447" s="55"/>
      <c r="H447" s="13">
        <f t="shared" si="8"/>
        <v>1500000</v>
      </c>
      <c r="I447" s="18" t="s">
        <v>12</v>
      </c>
    </row>
    <row r="448" spans="1:9" ht="14.25">
      <c r="A448" s="61"/>
      <c r="B448" s="11" t="s">
        <v>480</v>
      </c>
      <c r="C448" s="13">
        <v>6727600</v>
      </c>
      <c r="D448" s="55"/>
      <c r="E448" s="13">
        <f>4488512-318000-275524</f>
        <v>3894988</v>
      </c>
      <c r="F448" s="55"/>
      <c r="G448" s="55"/>
      <c r="H448" s="13">
        <f t="shared" si="8"/>
        <v>2832612</v>
      </c>
      <c r="I448" s="18" t="s">
        <v>12</v>
      </c>
    </row>
    <row r="449" spans="1:9" ht="42.75">
      <c r="A449" s="61"/>
      <c r="B449" s="11" t="s">
        <v>481</v>
      </c>
      <c r="C449" s="13">
        <v>60000</v>
      </c>
      <c r="D449" s="55"/>
      <c r="E449" s="13"/>
      <c r="F449" s="55"/>
      <c r="G449" s="55"/>
      <c r="H449" s="13">
        <f t="shared" si="8"/>
        <v>60000</v>
      </c>
      <c r="I449" s="18" t="s">
        <v>12</v>
      </c>
    </row>
    <row r="450" spans="1:9" ht="14.25">
      <c r="A450" s="61"/>
      <c r="B450" s="11" t="s">
        <v>482</v>
      </c>
      <c r="C450" s="13">
        <v>1695500</v>
      </c>
      <c r="D450" s="55"/>
      <c r="E450" s="13"/>
      <c r="F450" s="55"/>
      <c r="G450" s="55"/>
      <c r="H450" s="13">
        <f t="shared" si="8"/>
        <v>1695500</v>
      </c>
      <c r="I450" s="18" t="s">
        <v>12</v>
      </c>
    </row>
    <row r="451" spans="1:9" ht="28.5">
      <c r="A451" s="61"/>
      <c r="B451" s="11" t="s">
        <v>483</v>
      </c>
      <c r="C451" s="13">
        <v>3758300</v>
      </c>
      <c r="D451" s="55"/>
      <c r="E451" s="13">
        <v>3758300</v>
      </c>
      <c r="F451" s="55"/>
      <c r="G451" s="55"/>
      <c r="H451" s="13">
        <f t="shared" si="8"/>
        <v>0</v>
      </c>
      <c r="I451" s="18" t="s">
        <v>12</v>
      </c>
    </row>
    <row r="452" spans="1:9" ht="14.25">
      <c r="A452" s="61"/>
      <c r="B452" s="11" t="s">
        <v>606</v>
      </c>
      <c r="C452" s="13">
        <v>9050100</v>
      </c>
      <c r="D452" s="55"/>
      <c r="E452" s="13">
        <v>9050100</v>
      </c>
      <c r="F452" s="55"/>
      <c r="G452" s="55"/>
      <c r="H452" s="13"/>
      <c r="I452" s="18"/>
    </row>
    <row r="453" spans="1:9" ht="71.25">
      <c r="A453" s="61"/>
      <c r="B453" s="21" t="s">
        <v>104</v>
      </c>
      <c r="C453" s="13">
        <v>218700</v>
      </c>
      <c r="D453" s="55"/>
      <c r="E453" s="13">
        <v>218700</v>
      </c>
      <c r="F453" s="55"/>
      <c r="G453" s="55"/>
      <c r="H453" s="13">
        <f t="shared" ref="H453:H516" si="9">C453-E453</f>
        <v>0</v>
      </c>
      <c r="I453" s="24" t="s">
        <v>105</v>
      </c>
    </row>
    <row r="454" spans="1:9" ht="14.25">
      <c r="A454" s="61"/>
      <c r="B454" s="11" t="s">
        <v>484</v>
      </c>
      <c r="C454" s="13">
        <v>60000</v>
      </c>
      <c r="D454" s="55"/>
      <c r="E454" s="13"/>
      <c r="F454" s="55"/>
      <c r="G454" s="55"/>
      <c r="H454" s="13">
        <f t="shared" si="9"/>
        <v>60000</v>
      </c>
      <c r="I454" s="18" t="s">
        <v>12</v>
      </c>
    </row>
    <row r="455" spans="1:9" ht="28.5">
      <c r="A455" s="61"/>
      <c r="B455" s="11" t="s">
        <v>485</v>
      </c>
      <c r="C455" s="12">
        <v>291600</v>
      </c>
      <c r="D455" s="55"/>
      <c r="E455" s="13">
        <v>291600</v>
      </c>
      <c r="F455" s="55"/>
      <c r="G455" s="55"/>
      <c r="H455" s="13">
        <f t="shared" si="9"/>
        <v>0</v>
      </c>
      <c r="I455" s="18" t="s">
        <v>10</v>
      </c>
    </row>
    <row r="456" spans="1:9" ht="14.25">
      <c r="A456" s="61" t="s">
        <v>486</v>
      </c>
      <c r="B456" s="11" t="s">
        <v>487</v>
      </c>
      <c r="C456" s="12">
        <v>420000</v>
      </c>
      <c r="D456" s="55">
        <f>SUBTOTAL(9,C458:C461)</f>
        <v>7102789.0999999996</v>
      </c>
      <c r="E456" s="13">
        <f>243850+176120</f>
        <v>419970</v>
      </c>
      <c r="F456" s="55">
        <f>SUBTOTAL(9,E458:E461)</f>
        <v>6969066.29</v>
      </c>
      <c r="G456" s="55">
        <f>D456-F456</f>
        <v>133722.80999999959</v>
      </c>
      <c r="H456" s="13">
        <f t="shared" si="9"/>
        <v>30</v>
      </c>
      <c r="I456" s="18" t="s">
        <v>10</v>
      </c>
    </row>
    <row r="457" spans="1:9" ht="14.25">
      <c r="A457" s="61"/>
      <c r="B457" s="11" t="s">
        <v>434</v>
      </c>
      <c r="C457" s="12">
        <v>327600</v>
      </c>
      <c r="D457" s="55"/>
      <c r="E457" s="13">
        <v>327600</v>
      </c>
      <c r="F457" s="55"/>
      <c r="G457" s="55"/>
      <c r="H457" s="13">
        <f t="shared" si="9"/>
        <v>0</v>
      </c>
      <c r="I457" s="18" t="s">
        <v>488</v>
      </c>
    </row>
    <row r="458" spans="1:9" ht="28.5">
      <c r="A458" s="61"/>
      <c r="B458" s="11" t="s">
        <v>489</v>
      </c>
      <c r="C458" s="13">
        <f>192673.18+500000</f>
        <v>692673.17999999993</v>
      </c>
      <c r="D458" s="55"/>
      <c r="E458" s="13">
        <v>692673.18</v>
      </c>
      <c r="F458" s="55"/>
      <c r="G458" s="55"/>
      <c r="H458" s="13">
        <f t="shared" si="9"/>
        <v>0</v>
      </c>
      <c r="I458" s="18" t="s">
        <v>490</v>
      </c>
    </row>
    <row r="459" spans="1:9" ht="14.25">
      <c r="A459" s="61"/>
      <c r="B459" s="11" t="s">
        <v>489</v>
      </c>
      <c r="C459" s="12">
        <v>1583037.47</v>
      </c>
      <c r="D459" s="55"/>
      <c r="E459" s="13">
        <v>1583037.47</v>
      </c>
      <c r="F459" s="55"/>
      <c r="G459" s="55"/>
      <c r="H459" s="13">
        <f t="shared" si="9"/>
        <v>0</v>
      </c>
      <c r="I459" s="18" t="s">
        <v>491</v>
      </c>
    </row>
    <row r="460" spans="1:9" ht="14.25">
      <c r="A460" s="61"/>
      <c r="B460" s="11" t="s">
        <v>13</v>
      </c>
      <c r="C460" s="13">
        <v>2537078.4500000002</v>
      </c>
      <c r="D460" s="55"/>
      <c r="E460" s="13">
        <v>2403355.64</v>
      </c>
      <c r="F460" s="55"/>
      <c r="G460" s="55"/>
      <c r="H460" s="13">
        <f t="shared" si="9"/>
        <v>133722.81000000006</v>
      </c>
      <c r="I460" s="18" t="s">
        <v>12</v>
      </c>
    </row>
    <row r="461" spans="1:9" ht="28.5">
      <c r="A461" s="61"/>
      <c r="B461" s="11" t="s">
        <v>431</v>
      </c>
      <c r="C461" s="13">
        <f>300000+1990000</f>
        <v>2290000</v>
      </c>
      <c r="D461" s="55"/>
      <c r="E461" s="13">
        <v>2290000</v>
      </c>
      <c r="F461" s="55"/>
      <c r="G461" s="55"/>
      <c r="H461" s="13">
        <f t="shared" si="9"/>
        <v>0</v>
      </c>
      <c r="I461" s="18" t="s">
        <v>492</v>
      </c>
    </row>
    <row r="462" spans="1:9" ht="14.25">
      <c r="A462" s="61"/>
      <c r="B462" s="11" t="s">
        <v>493</v>
      </c>
      <c r="C462" s="12">
        <v>1373400</v>
      </c>
      <c r="D462" s="55"/>
      <c r="E462" s="13">
        <v>1373400</v>
      </c>
      <c r="F462" s="55"/>
      <c r="G462" s="55"/>
      <c r="H462" s="13">
        <f t="shared" si="9"/>
        <v>0</v>
      </c>
      <c r="I462" s="18" t="s">
        <v>10</v>
      </c>
    </row>
    <row r="463" spans="1:9" ht="14.25">
      <c r="A463" s="61" t="s">
        <v>494</v>
      </c>
      <c r="B463" s="11" t="s">
        <v>495</v>
      </c>
      <c r="C463" s="12">
        <v>250000</v>
      </c>
      <c r="D463" s="55">
        <f>SUBTOTAL(9,C465:C472)</f>
        <v>6892435.0999999996</v>
      </c>
      <c r="E463" s="13">
        <v>250000</v>
      </c>
      <c r="F463" s="55">
        <f>SUBTOTAL(9,E465:E472)</f>
        <v>22574705.759999998</v>
      </c>
      <c r="G463" s="55">
        <f>D463-F463</f>
        <v>-15682270.659999998</v>
      </c>
      <c r="H463" s="13">
        <f t="shared" si="9"/>
        <v>0</v>
      </c>
      <c r="I463" s="18" t="s">
        <v>10</v>
      </c>
    </row>
    <row r="464" spans="1:9" ht="14.25">
      <c r="A464" s="61"/>
      <c r="B464" s="11" t="s">
        <v>496</v>
      </c>
      <c r="C464" s="12">
        <v>360000</v>
      </c>
      <c r="D464" s="55"/>
      <c r="E464" s="13">
        <v>360000</v>
      </c>
      <c r="F464" s="55"/>
      <c r="G464" s="55"/>
      <c r="H464" s="13">
        <f t="shared" si="9"/>
        <v>0</v>
      </c>
      <c r="I464" s="18" t="s">
        <v>10</v>
      </c>
    </row>
    <row r="465" spans="1:9" ht="14.25">
      <c r="A465" s="61"/>
      <c r="B465" s="11" t="s">
        <v>13</v>
      </c>
      <c r="C465" s="13">
        <v>3607199.6</v>
      </c>
      <c r="D465" s="55"/>
      <c r="E465" s="13">
        <f>16672341.1+3672967.16</f>
        <v>20345308.259999998</v>
      </c>
      <c r="F465" s="55"/>
      <c r="G465" s="55"/>
      <c r="H465" s="13">
        <f t="shared" si="9"/>
        <v>-16738108.659999998</v>
      </c>
      <c r="I465" s="18" t="s">
        <v>12</v>
      </c>
    </row>
    <row r="466" spans="1:9" ht="14.25">
      <c r="A466" s="61"/>
      <c r="B466" s="11" t="s">
        <v>431</v>
      </c>
      <c r="C466" s="13">
        <v>427669</v>
      </c>
      <c r="D466" s="55"/>
      <c r="E466" s="13">
        <v>427669</v>
      </c>
      <c r="F466" s="55"/>
      <c r="G466" s="55"/>
      <c r="H466" s="13">
        <f t="shared" si="9"/>
        <v>0</v>
      </c>
      <c r="I466" s="18" t="s">
        <v>12</v>
      </c>
    </row>
    <row r="467" spans="1:9" ht="14.25">
      <c r="A467" s="61"/>
      <c r="B467" s="11" t="s">
        <v>497</v>
      </c>
      <c r="C467" s="12">
        <v>598178</v>
      </c>
      <c r="D467" s="55"/>
      <c r="E467" s="13">
        <v>598178</v>
      </c>
      <c r="F467" s="55"/>
      <c r="G467" s="55"/>
      <c r="H467" s="13">
        <f t="shared" si="9"/>
        <v>0</v>
      </c>
      <c r="I467" s="18" t="s">
        <v>10</v>
      </c>
    </row>
    <row r="468" spans="1:9" ht="28.5">
      <c r="A468" s="61"/>
      <c r="B468" s="11" t="s">
        <v>498</v>
      </c>
      <c r="C468" s="13">
        <v>194338</v>
      </c>
      <c r="D468" s="55"/>
      <c r="E468" s="13"/>
      <c r="F468" s="55"/>
      <c r="G468" s="55"/>
      <c r="H468" s="13">
        <f t="shared" si="9"/>
        <v>194338</v>
      </c>
      <c r="I468" s="18" t="s">
        <v>358</v>
      </c>
    </row>
    <row r="469" spans="1:9" ht="28.5">
      <c r="A469" s="61"/>
      <c r="B469" s="11" t="s">
        <v>499</v>
      </c>
      <c r="C469" s="13">
        <v>100000</v>
      </c>
      <c r="D469" s="55"/>
      <c r="E469" s="13"/>
      <c r="F469" s="55"/>
      <c r="G469" s="55"/>
      <c r="H469" s="13">
        <f t="shared" si="9"/>
        <v>100000</v>
      </c>
      <c r="I469" s="18" t="s">
        <v>500</v>
      </c>
    </row>
    <row r="470" spans="1:9" ht="14.25">
      <c r="A470" s="61"/>
      <c r="B470" s="11" t="s">
        <v>501</v>
      </c>
      <c r="C470" s="13">
        <v>35000</v>
      </c>
      <c r="D470" s="55"/>
      <c r="E470" s="13">
        <v>35000</v>
      </c>
      <c r="F470" s="55"/>
      <c r="G470" s="55"/>
      <c r="H470" s="13">
        <f t="shared" si="9"/>
        <v>0</v>
      </c>
      <c r="I470" s="18" t="s">
        <v>25</v>
      </c>
    </row>
    <row r="471" spans="1:9" ht="14.25">
      <c r="A471" s="61"/>
      <c r="B471" s="11" t="s">
        <v>502</v>
      </c>
      <c r="C471" s="13">
        <v>753850.5</v>
      </c>
      <c r="D471" s="55"/>
      <c r="E471" s="13">
        <v>753850.5</v>
      </c>
      <c r="F471" s="55"/>
      <c r="G471" s="55"/>
      <c r="H471" s="13">
        <f t="shared" si="9"/>
        <v>0</v>
      </c>
      <c r="I471" s="18" t="s">
        <v>12</v>
      </c>
    </row>
    <row r="472" spans="1:9" ht="28.5">
      <c r="A472" s="61"/>
      <c r="B472" s="11" t="s">
        <v>503</v>
      </c>
      <c r="C472" s="13">
        <f>414700+761500</f>
        <v>1176200</v>
      </c>
      <c r="D472" s="55"/>
      <c r="E472" s="13">
        <v>414700</v>
      </c>
      <c r="F472" s="55"/>
      <c r="G472" s="55"/>
      <c r="H472" s="13">
        <f t="shared" si="9"/>
        <v>761500</v>
      </c>
      <c r="I472" s="24" t="s">
        <v>504</v>
      </c>
    </row>
    <row r="473" spans="1:9" ht="24.95" customHeight="1">
      <c r="A473" s="61" t="s">
        <v>505</v>
      </c>
      <c r="B473" s="11" t="s">
        <v>506</v>
      </c>
      <c r="C473" s="12">
        <v>300000</v>
      </c>
      <c r="D473" s="55">
        <f>SUBTOTAL(9,C475)</f>
        <v>3030000</v>
      </c>
      <c r="E473" s="13">
        <v>300000</v>
      </c>
      <c r="F473" s="55">
        <f>SUBTOTAL(9,E475)</f>
        <v>0</v>
      </c>
      <c r="G473" s="55">
        <f>D473-F473</f>
        <v>3030000</v>
      </c>
      <c r="H473" s="13">
        <f t="shared" si="9"/>
        <v>0</v>
      </c>
      <c r="I473" s="18" t="s">
        <v>10</v>
      </c>
    </row>
    <row r="474" spans="1:9" ht="24.95" customHeight="1">
      <c r="A474" s="61"/>
      <c r="B474" s="11" t="s">
        <v>507</v>
      </c>
      <c r="C474" s="12">
        <v>95726</v>
      </c>
      <c r="D474" s="55"/>
      <c r="E474" s="13"/>
      <c r="F474" s="55"/>
      <c r="G474" s="55"/>
      <c r="H474" s="13">
        <f t="shared" si="9"/>
        <v>95726</v>
      </c>
      <c r="I474" s="18" t="s">
        <v>10</v>
      </c>
    </row>
    <row r="475" spans="1:9" ht="27.95" customHeight="1">
      <c r="A475" s="61"/>
      <c r="B475" s="11" t="s">
        <v>508</v>
      </c>
      <c r="C475" s="13">
        <f>3125726-95726</f>
        <v>3030000</v>
      </c>
      <c r="D475" s="55"/>
      <c r="E475" s="13"/>
      <c r="F475" s="55"/>
      <c r="G475" s="55"/>
      <c r="H475" s="13">
        <f t="shared" si="9"/>
        <v>3030000</v>
      </c>
      <c r="I475" s="18" t="s">
        <v>12</v>
      </c>
    </row>
    <row r="476" spans="1:9" ht="14.25">
      <c r="A476" s="61" t="s">
        <v>509</v>
      </c>
      <c r="B476" s="11" t="s">
        <v>431</v>
      </c>
      <c r="C476" s="12">
        <v>537200</v>
      </c>
      <c r="D476" s="55">
        <f>SUBTOTAL(9,C477:C482)</f>
        <v>3530660.1799999997</v>
      </c>
      <c r="E476" s="13">
        <f>400000+227176+38684.5</f>
        <v>665860.5</v>
      </c>
      <c r="F476" s="55">
        <f>SUBTOTAL(9,E477:E482)</f>
        <v>3224092.76</v>
      </c>
      <c r="G476" s="55">
        <f>D476-F476</f>
        <v>306567.41999999993</v>
      </c>
      <c r="H476" s="13">
        <f t="shared" si="9"/>
        <v>-128660.5</v>
      </c>
      <c r="I476" s="18" t="s">
        <v>10</v>
      </c>
    </row>
    <row r="477" spans="1:9" ht="14.25">
      <c r="A477" s="61"/>
      <c r="B477" s="11" t="s">
        <v>431</v>
      </c>
      <c r="C477" s="13">
        <v>30000</v>
      </c>
      <c r="D477" s="55"/>
      <c r="E477" s="13">
        <v>14247.31</v>
      </c>
      <c r="F477" s="55"/>
      <c r="G477" s="55"/>
      <c r="H477" s="13">
        <f t="shared" si="9"/>
        <v>15752.69</v>
      </c>
      <c r="I477" s="18" t="s">
        <v>12</v>
      </c>
    </row>
    <row r="478" spans="1:9" ht="14.25">
      <c r="A478" s="61"/>
      <c r="B478" s="63" t="s">
        <v>510</v>
      </c>
      <c r="C478" s="64">
        <f>468339+208050+114000</f>
        <v>790389</v>
      </c>
      <c r="D478" s="55"/>
      <c r="E478" s="55">
        <f>1249574.27-750000</f>
        <v>499574.27</v>
      </c>
      <c r="F478" s="55"/>
      <c r="G478" s="55"/>
      <c r="H478" s="13">
        <f t="shared" si="9"/>
        <v>290814.73</v>
      </c>
      <c r="I478" s="52" t="s">
        <v>10</v>
      </c>
    </row>
    <row r="479" spans="1:9" ht="48" customHeight="1">
      <c r="A479" s="61"/>
      <c r="B479" s="63"/>
      <c r="C479" s="64"/>
      <c r="D479" s="55"/>
      <c r="E479" s="55"/>
      <c r="F479" s="55"/>
      <c r="G479" s="55"/>
      <c r="H479" s="13">
        <f t="shared" si="9"/>
        <v>0</v>
      </c>
      <c r="I479" s="52"/>
    </row>
    <row r="480" spans="1:9" ht="14.25">
      <c r="A480" s="61"/>
      <c r="B480" s="63" t="s">
        <v>511</v>
      </c>
      <c r="C480" s="55">
        <f>328800+421200</f>
        <v>750000</v>
      </c>
      <c r="D480" s="55"/>
      <c r="E480" s="55">
        <v>750000</v>
      </c>
      <c r="F480" s="55"/>
      <c r="G480" s="55"/>
      <c r="H480" s="13">
        <f t="shared" si="9"/>
        <v>0</v>
      </c>
      <c r="I480" s="18" t="s">
        <v>12</v>
      </c>
    </row>
    <row r="481" spans="1:9" ht="50.25" customHeight="1">
      <c r="A481" s="61"/>
      <c r="B481" s="63"/>
      <c r="C481" s="55"/>
      <c r="D481" s="55"/>
      <c r="E481" s="55"/>
      <c r="F481" s="55"/>
      <c r="G481" s="55"/>
      <c r="H481" s="13">
        <f t="shared" si="9"/>
        <v>0</v>
      </c>
      <c r="I481" s="18" t="s">
        <v>12</v>
      </c>
    </row>
    <row r="482" spans="1:9" ht="39.75" customHeight="1">
      <c r="A482" s="61"/>
      <c r="B482" s="11" t="s">
        <v>512</v>
      </c>
      <c r="C482" s="13">
        <v>1960271.18</v>
      </c>
      <c r="D482" s="55"/>
      <c r="E482" s="13">
        <v>1960271.18</v>
      </c>
      <c r="F482" s="55"/>
      <c r="G482" s="55"/>
      <c r="H482" s="13">
        <f t="shared" si="9"/>
        <v>0</v>
      </c>
      <c r="I482" s="18" t="s">
        <v>25</v>
      </c>
    </row>
    <row r="483" spans="1:9" ht="14.25">
      <c r="A483" s="61"/>
      <c r="B483" s="11" t="s">
        <v>513</v>
      </c>
      <c r="C483" s="12">
        <v>1195092.8</v>
      </c>
      <c r="D483" s="55"/>
      <c r="E483" s="13">
        <v>1195092.8</v>
      </c>
      <c r="F483" s="55"/>
      <c r="G483" s="55"/>
      <c r="H483" s="13">
        <f t="shared" si="9"/>
        <v>0</v>
      </c>
      <c r="I483" s="18" t="s">
        <v>10</v>
      </c>
    </row>
    <row r="484" spans="1:9" ht="14.25">
      <c r="A484" s="61" t="s">
        <v>514</v>
      </c>
      <c r="B484" s="11" t="s">
        <v>515</v>
      </c>
      <c r="C484" s="12">
        <v>400000</v>
      </c>
      <c r="D484" s="55">
        <f>SUBTOTAL(9,C485:C501)</f>
        <v>10010253.73</v>
      </c>
      <c r="E484" s="13">
        <v>400000</v>
      </c>
      <c r="F484" s="55">
        <f>SUBTOTAL(9,E485:E501)</f>
        <v>9001247.7699999996</v>
      </c>
      <c r="G484" s="55">
        <f>D484-F484</f>
        <v>1009005.9600000009</v>
      </c>
      <c r="H484" s="13">
        <f t="shared" si="9"/>
        <v>0</v>
      </c>
      <c r="I484" s="27" t="s">
        <v>10</v>
      </c>
    </row>
    <row r="485" spans="1:9" ht="14.25">
      <c r="A485" s="61"/>
      <c r="B485" s="11" t="s">
        <v>516</v>
      </c>
      <c r="C485" s="13">
        <v>1100000</v>
      </c>
      <c r="D485" s="55"/>
      <c r="E485" s="13">
        <v>1100000</v>
      </c>
      <c r="F485" s="55"/>
      <c r="G485" s="55"/>
      <c r="H485" s="13">
        <f t="shared" si="9"/>
        <v>0</v>
      </c>
      <c r="I485" s="18" t="s">
        <v>12</v>
      </c>
    </row>
    <row r="486" spans="1:9" ht="24" customHeight="1">
      <c r="A486" s="61"/>
      <c r="B486" s="11" t="s">
        <v>517</v>
      </c>
      <c r="C486" s="13">
        <v>640000</v>
      </c>
      <c r="D486" s="55"/>
      <c r="E486" s="13">
        <v>640000</v>
      </c>
      <c r="F486" s="55"/>
      <c r="G486" s="55"/>
      <c r="H486" s="13">
        <f t="shared" si="9"/>
        <v>0</v>
      </c>
      <c r="I486" s="18" t="s">
        <v>12</v>
      </c>
    </row>
    <row r="487" spans="1:9" ht="31.5" customHeight="1">
      <c r="A487" s="61"/>
      <c r="B487" s="35" t="s">
        <v>359</v>
      </c>
      <c r="C487" s="13">
        <v>1360000</v>
      </c>
      <c r="D487" s="55"/>
      <c r="E487" s="13">
        <v>1360000</v>
      </c>
      <c r="F487" s="55"/>
      <c r="G487" s="55"/>
      <c r="H487" s="13">
        <f t="shared" si="9"/>
        <v>0</v>
      </c>
      <c r="I487" s="24" t="s">
        <v>518</v>
      </c>
    </row>
    <row r="488" spans="1:9" ht="63.75" customHeight="1">
      <c r="A488" s="61"/>
      <c r="B488" s="11" t="s">
        <v>519</v>
      </c>
      <c r="C488" s="12">
        <v>80000</v>
      </c>
      <c r="D488" s="55"/>
      <c r="E488" s="13"/>
      <c r="F488" s="55"/>
      <c r="G488" s="55"/>
      <c r="H488" s="13">
        <f t="shared" si="9"/>
        <v>80000</v>
      </c>
      <c r="I488" s="27" t="s">
        <v>10</v>
      </c>
    </row>
    <row r="489" spans="1:9" ht="69" customHeight="1">
      <c r="A489" s="61"/>
      <c r="B489" s="11" t="s">
        <v>520</v>
      </c>
      <c r="C489" s="13">
        <v>840000</v>
      </c>
      <c r="D489" s="55"/>
      <c r="E489" s="13">
        <v>840000</v>
      </c>
      <c r="F489" s="55"/>
      <c r="G489" s="55"/>
      <c r="H489" s="13">
        <f t="shared" si="9"/>
        <v>0</v>
      </c>
      <c r="I489" s="18" t="s">
        <v>12</v>
      </c>
    </row>
    <row r="490" spans="1:9" ht="26.1" customHeight="1">
      <c r="A490" s="61"/>
      <c r="B490" s="11" t="s">
        <v>521</v>
      </c>
      <c r="C490" s="13">
        <v>20000</v>
      </c>
      <c r="D490" s="55"/>
      <c r="E490" s="13"/>
      <c r="F490" s="55"/>
      <c r="G490" s="55"/>
      <c r="H490" s="13">
        <f t="shared" si="9"/>
        <v>20000</v>
      </c>
      <c r="I490" s="18" t="s">
        <v>12</v>
      </c>
    </row>
    <row r="491" spans="1:9" ht="28.5">
      <c r="A491" s="61"/>
      <c r="B491" s="11" t="s">
        <v>13</v>
      </c>
      <c r="C491" s="13">
        <f>3081948.73+23300</f>
        <v>3105248.73</v>
      </c>
      <c r="D491" s="55"/>
      <c r="E491" s="13">
        <v>3865247.77</v>
      </c>
      <c r="F491" s="55"/>
      <c r="G491" s="55"/>
      <c r="H491" s="13">
        <f t="shared" si="9"/>
        <v>-759999.04</v>
      </c>
      <c r="I491" s="18" t="s">
        <v>522</v>
      </c>
    </row>
    <row r="492" spans="1:9" ht="14.25">
      <c r="A492" s="61"/>
      <c r="B492" s="11" t="s">
        <v>431</v>
      </c>
      <c r="C492" s="13">
        <v>460000</v>
      </c>
      <c r="D492" s="55"/>
      <c r="E492" s="13">
        <v>460000</v>
      </c>
      <c r="F492" s="55"/>
      <c r="G492" s="55"/>
      <c r="H492" s="13">
        <f t="shared" si="9"/>
        <v>0</v>
      </c>
      <c r="I492" s="18" t="s">
        <v>12</v>
      </c>
    </row>
    <row r="493" spans="1:9" ht="14.25">
      <c r="A493" s="61"/>
      <c r="B493" s="11" t="s">
        <v>523</v>
      </c>
      <c r="C493" s="13">
        <v>506000</v>
      </c>
      <c r="D493" s="55"/>
      <c r="E493" s="13">
        <v>506000</v>
      </c>
      <c r="F493" s="55"/>
      <c r="G493" s="55"/>
      <c r="H493" s="13">
        <f t="shared" si="9"/>
        <v>0</v>
      </c>
      <c r="I493" s="18" t="s">
        <v>12</v>
      </c>
    </row>
    <row r="494" spans="1:9" ht="14.25">
      <c r="A494" s="61"/>
      <c r="B494" s="11" t="s">
        <v>524</v>
      </c>
      <c r="C494" s="13">
        <v>230000</v>
      </c>
      <c r="D494" s="55"/>
      <c r="E494" s="13">
        <v>230000</v>
      </c>
      <c r="F494" s="55"/>
      <c r="G494" s="55"/>
      <c r="H494" s="13">
        <f t="shared" si="9"/>
        <v>0</v>
      </c>
      <c r="I494" s="18" t="s">
        <v>12</v>
      </c>
    </row>
    <row r="495" spans="1:9" ht="42.75">
      <c r="A495" s="61"/>
      <c r="B495" s="21" t="s">
        <v>525</v>
      </c>
      <c r="C495" s="22">
        <v>180000</v>
      </c>
      <c r="D495" s="55"/>
      <c r="E495" s="13"/>
      <c r="F495" s="55"/>
      <c r="G495" s="55"/>
      <c r="H495" s="13">
        <f t="shared" si="9"/>
        <v>180000</v>
      </c>
      <c r="I495" s="26" t="s">
        <v>526</v>
      </c>
    </row>
    <row r="496" spans="1:9" ht="28.5">
      <c r="A496" s="61"/>
      <c r="B496" s="21" t="s">
        <v>527</v>
      </c>
      <c r="C496" s="22">
        <v>422000</v>
      </c>
      <c r="D496" s="55"/>
      <c r="E496" s="13"/>
      <c r="F496" s="55"/>
      <c r="G496" s="55"/>
      <c r="H496" s="13">
        <f t="shared" si="9"/>
        <v>422000</v>
      </c>
      <c r="I496" s="26" t="s">
        <v>528</v>
      </c>
    </row>
    <row r="497" spans="1:9" ht="28.5">
      <c r="A497" s="61"/>
      <c r="B497" s="11" t="s">
        <v>529</v>
      </c>
      <c r="C497" s="22">
        <v>250000</v>
      </c>
      <c r="D497" s="55"/>
      <c r="E497" s="13"/>
      <c r="F497" s="55"/>
      <c r="G497" s="55"/>
      <c r="H497" s="13">
        <f t="shared" si="9"/>
        <v>250000</v>
      </c>
      <c r="I497" s="26" t="s">
        <v>530</v>
      </c>
    </row>
    <row r="498" spans="1:9" ht="42.75">
      <c r="A498" s="61"/>
      <c r="B498" s="11" t="s">
        <v>531</v>
      </c>
      <c r="C498" s="22">
        <v>390000</v>
      </c>
      <c r="D498" s="55"/>
      <c r="E498" s="13"/>
      <c r="F498" s="55"/>
      <c r="G498" s="55"/>
      <c r="H498" s="13">
        <f t="shared" si="9"/>
        <v>390000</v>
      </c>
      <c r="I498" s="26" t="s">
        <v>532</v>
      </c>
    </row>
    <row r="499" spans="1:9" ht="28.5">
      <c r="A499" s="61"/>
      <c r="B499" s="11" t="s">
        <v>533</v>
      </c>
      <c r="C499" s="13">
        <v>33600</v>
      </c>
      <c r="D499" s="55"/>
      <c r="E499" s="13"/>
      <c r="F499" s="55"/>
      <c r="G499" s="55"/>
      <c r="H499" s="13">
        <f t="shared" si="9"/>
        <v>33600</v>
      </c>
      <c r="I499" s="18" t="s">
        <v>12</v>
      </c>
    </row>
    <row r="500" spans="1:9" ht="28.5">
      <c r="A500" s="61"/>
      <c r="B500" s="11" t="s">
        <v>534</v>
      </c>
      <c r="C500" s="13">
        <v>299685</v>
      </c>
      <c r="D500" s="55"/>
      <c r="E500" s="13"/>
      <c r="F500" s="55"/>
      <c r="G500" s="55"/>
      <c r="H500" s="13">
        <f t="shared" si="9"/>
        <v>299685</v>
      </c>
      <c r="I500" s="52" t="s">
        <v>25</v>
      </c>
    </row>
    <row r="501" spans="1:9" ht="14.25">
      <c r="A501" s="61"/>
      <c r="B501" s="11" t="s">
        <v>535</v>
      </c>
      <c r="C501" s="13">
        <v>93720</v>
      </c>
      <c r="D501" s="55"/>
      <c r="E501" s="13"/>
      <c r="F501" s="55"/>
      <c r="G501" s="55"/>
      <c r="H501" s="13">
        <f t="shared" si="9"/>
        <v>93720</v>
      </c>
      <c r="I501" s="52"/>
    </row>
    <row r="502" spans="1:9" ht="14.25">
      <c r="A502" s="61" t="s">
        <v>536</v>
      </c>
      <c r="B502" s="11" t="s">
        <v>13</v>
      </c>
      <c r="C502" s="13">
        <v>2317847.54</v>
      </c>
      <c r="D502" s="55">
        <f>SUBTOTAL(9,C502:C504)</f>
        <v>2699875.34</v>
      </c>
      <c r="E502" s="13">
        <v>2728924.69</v>
      </c>
      <c r="F502" s="55">
        <f>SUBTOTAL(9,E502:E504)</f>
        <v>3110952.4899999998</v>
      </c>
      <c r="G502" s="55">
        <f t="shared" ref="G502:G507" si="10">D502-F502</f>
        <v>-411077.14999999991</v>
      </c>
      <c r="H502" s="13">
        <f t="shared" si="9"/>
        <v>-411077.14999999991</v>
      </c>
      <c r="I502" s="18" t="s">
        <v>12</v>
      </c>
    </row>
    <row r="503" spans="1:9" ht="14.25">
      <c r="A503" s="61"/>
      <c r="B503" s="11" t="s">
        <v>431</v>
      </c>
      <c r="C503" s="13">
        <v>330000</v>
      </c>
      <c r="D503" s="55"/>
      <c r="E503" s="13">
        <v>330000</v>
      </c>
      <c r="F503" s="55"/>
      <c r="G503" s="55"/>
      <c r="H503" s="13">
        <f t="shared" si="9"/>
        <v>0</v>
      </c>
      <c r="I503" s="18" t="s">
        <v>12</v>
      </c>
    </row>
    <row r="504" spans="1:9" ht="14.25">
      <c r="A504" s="61"/>
      <c r="B504" s="11" t="s">
        <v>537</v>
      </c>
      <c r="C504" s="13">
        <v>52027.8</v>
      </c>
      <c r="D504" s="55"/>
      <c r="E504" s="13">
        <v>52027.8</v>
      </c>
      <c r="F504" s="55"/>
      <c r="G504" s="55"/>
      <c r="H504" s="13">
        <f t="shared" si="9"/>
        <v>0</v>
      </c>
      <c r="I504" s="18" t="s">
        <v>25</v>
      </c>
    </row>
    <row r="505" spans="1:9" ht="14.25">
      <c r="A505" s="61" t="s">
        <v>538</v>
      </c>
      <c r="B505" s="11" t="s">
        <v>13</v>
      </c>
      <c r="C505" s="13">
        <v>1576814.06</v>
      </c>
      <c r="D505" s="55">
        <f>SUBTOTAL(9,C505:C506)</f>
        <v>1716814.06</v>
      </c>
      <c r="E505" s="13">
        <v>1614563.08</v>
      </c>
      <c r="F505" s="55">
        <f>SUBTOTAL(9,E505:E506)</f>
        <v>1754563.08</v>
      </c>
      <c r="G505" s="55">
        <f t="shared" si="10"/>
        <v>-37749.020000000019</v>
      </c>
      <c r="H505" s="13">
        <f t="shared" si="9"/>
        <v>-37749.020000000019</v>
      </c>
      <c r="I505" s="18" t="s">
        <v>12</v>
      </c>
    </row>
    <row r="506" spans="1:9" ht="14.25">
      <c r="A506" s="61"/>
      <c r="B506" s="11" t="s">
        <v>431</v>
      </c>
      <c r="C506" s="13">
        <v>140000</v>
      </c>
      <c r="D506" s="55"/>
      <c r="E506" s="13">
        <v>140000</v>
      </c>
      <c r="F506" s="55"/>
      <c r="G506" s="55"/>
      <c r="H506" s="13">
        <f t="shared" si="9"/>
        <v>0</v>
      </c>
      <c r="I506" s="18" t="s">
        <v>12</v>
      </c>
    </row>
    <row r="507" spans="1:9" ht="14.25">
      <c r="A507" s="61" t="s">
        <v>539</v>
      </c>
      <c r="B507" s="11" t="s">
        <v>13</v>
      </c>
      <c r="C507" s="13">
        <v>1087403.8700000001</v>
      </c>
      <c r="D507" s="55">
        <f>SUBTOTAL(9,C507:C509)</f>
        <v>1347403.87</v>
      </c>
      <c r="E507" s="13">
        <v>1183578.99</v>
      </c>
      <c r="F507" s="55">
        <f>SUBTOTAL(9,E507:E509)</f>
        <v>1343578.99</v>
      </c>
      <c r="G507" s="55">
        <f t="shared" si="10"/>
        <v>3824.8800000001211</v>
      </c>
      <c r="H507" s="13">
        <f t="shared" si="9"/>
        <v>-96175.119999999879</v>
      </c>
      <c r="I507" s="18" t="s">
        <v>12</v>
      </c>
    </row>
    <row r="508" spans="1:9" ht="14.25">
      <c r="A508" s="61"/>
      <c r="B508" s="11" t="s">
        <v>431</v>
      </c>
      <c r="C508" s="13">
        <v>160000</v>
      </c>
      <c r="D508" s="55"/>
      <c r="E508" s="13">
        <v>160000</v>
      </c>
      <c r="F508" s="55"/>
      <c r="G508" s="55"/>
      <c r="H508" s="13">
        <f t="shared" si="9"/>
        <v>0</v>
      </c>
      <c r="I508" s="18" t="s">
        <v>12</v>
      </c>
    </row>
    <row r="509" spans="1:9" ht="42.75">
      <c r="A509" s="61"/>
      <c r="B509" s="40" t="s">
        <v>540</v>
      </c>
      <c r="C509" s="13">
        <v>100000</v>
      </c>
      <c r="D509" s="55"/>
      <c r="E509" s="13">
        <v>0</v>
      </c>
      <c r="F509" s="55"/>
      <c r="G509" s="55"/>
      <c r="H509" s="13">
        <f t="shared" si="9"/>
        <v>100000</v>
      </c>
      <c r="I509" s="24" t="s">
        <v>541</v>
      </c>
    </row>
    <row r="510" spans="1:9" ht="28.5">
      <c r="A510" s="61" t="s">
        <v>542</v>
      </c>
      <c r="B510" s="11" t="s">
        <v>13</v>
      </c>
      <c r="C510" s="13">
        <f>725787.01+11180</f>
        <v>736967.01</v>
      </c>
      <c r="D510" s="55">
        <f>SUBTOTAL(9,C510:C511)</f>
        <v>796967.01</v>
      </c>
      <c r="E510" s="13">
        <v>754694.2</v>
      </c>
      <c r="F510" s="55">
        <f>SUBTOTAL(9,E510:E511)</f>
        <v>814694.2</v>
      </c>
      <c r="G510" s="55">
        <f t="shared" ref="G510:G514" si="11">D510-F510</f>
        <v>-17727.189999999944</v>
      </c>
      <c r="H510" s="13">
        <f t="shared" si="9"/>
        <v>-17727.189999999944</v>
      </c>
      <c r="I510" s="18" t="s">
        <v>543</v>
      </c>
    </row>
    <row r="511" spans="1:9" ht="14.25">
      <c r="A511" s="61"/>
      <c r="B511" s="11" t="s">
        <v>431</v>
      </c>
      <c r="C511" s="13">
        <v>60000</v>
      </c>
      <c r="D511" s="55"/>
      <c r="E511" s="13">
        <v>60000</v>
      </c>
      <c r="F511" s="55"/>
      <c r="G511" s="55"/>
      <c r="H511" s="13">
        <f t="shared" si="9"/>
        <v>0</v>
      </c>
      <c r="I511" s="18" t="s">
        <v>12</v>
      </c>
    </row>
    <row r="512" spans="1:9" ht="14.25">
      <c r="A512" s="61" t="s">
        <v>544</v>
      </c>
      <c r="B512" s="11" t="s">
        <v>13</v>
      </c>
      <c r="C512" s="13">
        <v>638373.04</v>
      </c>
      <c r="D512" s="55">
        <f>SUBTOTAL(9,C512:C513)</f>
        <v>698373.04</v>
      </c>
      <c r="E512" s="13">
        <v>677661.37</v>
      </c>
      <c r="F512" s="55">
        <f>SUBTOTAL(9,E512:E513)</f>
        <v>737661.37</v>
      </c>
      <c r="G512" s="55">
        <f t="shared" si="11"/>
        <v>-39288.329999999958</v>
      </c>
      <c r="H512" s="13">
        <f t="shared" si="9"/>
        <v>-39288.329999999958</v>
      </c>
      <c r="I512" s="18" t="s">
        <v>12</v>
      </c>
    </row>
    <row r="513" spans="1:9" ht="14.25">
      <c r="A513" s="61"/>
      <c r="B513" s="11" t="s">
        <v>431</v>
      </c>
      <c r="C513" s="13">
        <v>60000</v>
      </c>
      <c r="D513" s="55"/>
      <c r="E513" s="13">
        <v>60000</v>
      </c>
      <c r="F513" s="55"/>
      <c r="G513" s="55"/>
      <c r="H513" s="13">
        <f t="shared" si="9"/>
        <v>0</v>
      </c>
      <c r="I513" s="18" t="s">
        <v>12</v>
      </c>
    </row>
    <row r="514" spans="1:9" ht="14.25">
      <c r="A514" s="61" t="s">
        <v>545</v>
      </c>
      <c r="B514" s="11" t="s">
        <v>546</v>
      </c>
      <c r="C514" s="13">
        <v>1000000</v>
      </c>
      <c r="D514" s="55">
        <f>SUBTOTAL(9,C514:C516)</f>
        <v>4942949.83</v>
      </c>
      <c r="E514" s="13">
        <v>1000000</v>
      </c>
      <c r="F514" s="55">
        <f>SUBTOTAL(9,E514:E516)</f>
        <v>4461221.4800000004</v>
      </c>
      <c r="G514" s="55">
        <f t="shared" si="11"/>
        <v>481728.34999999963</v>
      </c>
      <c r="H514" s="13">
        <f t="shared" si="9"/>
        <v>0</v>
      </c>
      <c r="I514" s="18" t="s">
        <v>12</v>
      </c>
    </row>
    <row r="515" spans="1:9" ht="14.25">
      <c r="A515" s="61"/>
      <c r="B515" s="11" t="s">
        <v>13</v>
      </c>
      <c r="C515" s="13">
        <v>3422949.83</v>
      </c>
      <c r="D515" s="55"/>
      <c r="E515" s="13">
        <v>2941221.48</v>
      </c>
      <c r="F515" s="55"/>
      <c r="G515" s="55"/>
      <c r="H515" s="13">
        <f t="shared" si="9"/>
        <v>481728.35000000009</v>
      </c>
      <c r="I515" s="18" t="s">
        <v>12</v>
      </c>
    </row>
    <row r="516" spans="1:9" ht="14.25">
      <c r="A516" s="61"/>
      <c r="B516" s="11" t="s">
        <v>431</v>
      </c>
      <c r="C516" s="13">
        <v>520000</v>
      </c>
      <c r="D516" s="55"/>
      <c r="E516" s="13">
        <v>520000</v>
      </c>
      <c r="F516" s="55"/>
      <c r="G516" s="55"/>
      <c r="H516" s="13">
        <f t="shared" si="9"/>
        <v>0</v>
      </c>
      <c r="I516" s="18" t="s">
        <v>12</v>
      </c>
    </row>
    <row r="517" spans="1:9" ht="14.25">
      <c r="A517" s="61"/>
      <c r="B517" s="11" t="s">
        <v>547</v>
      </c>
      <c r="C517" s="12">
        <v>414000</v>
      </c>
      <c r="D517" s="55"/>
      <c r="E517" s="13">
        <v>414000</v>
      </c>
      <c r="F517" s="55"/>
      <c r="G517" s="55"/>
      <c r="H517" s="13">
        <f t="shared" ref="H517:H553" si="12">C517-E517</f>
        <v>0</v>
      </c>
      <c r="I517" s="18" t="s">
        <v>10</v>
      </c>
    </row>
    <row r="518" spans="1:9" ht="28.5">
      <c r="A518" s="61" t="s">
        <v>548</v>
      </c>
      <c r="B518" s="11" t="s">
        <v>549</v>
      </c>
      <c r="C518" s="12">
        <v>1274000</v>
      </c>
      <c r="D518" s="55">
        <f>SUBTOTAL(9,C519:C526)</f>
        <v>3093622.04</v>
      </c>
      <c r="E518" s="13">
        <v>1274000</v>
      </c>
      <c r="F518" s="55">
        <f>SUBTOTAL(9,E519:E526)</f>
        <v>2267734.9900000002</v>
      </c>
      <c r="G518" s="55">
        <f>D518-F518</f>
        <v>825887.04999999981</v>
      </c>
      <c r="H518" s="13">
        <f t="shared" si="12"/>
        <v>0</v>
      </c>
      <c r="I518" s="18" t="s">
        <v>10</v>
      </c>
    </row>
    <row r="519" spans="1:9" ht="18.95" customHeight="1">
      <c r="A519" s="61"/>
      <c r="B519" s="11" t="s">
        <v>13</v>
      </c>
      <c r="C519" s="13">
        <v>1840683.69</v>
      </c>
      <c r="D519" s="55"/>
      <c r="E519" s="13">
        <v>1889449.99</v>
      </c>
      <c r="F519" s="55"/>
      <c r="G519" s="55"/>
      <c r="H519" s="13">
        <f t="shared" si="12"/>
        <v>-48766.300000000047</v>
      </c>
      <c r="I519" s="18" t="s">
        <v>12</v>
      </c>
    </row>
    <row r="520" spans="1:9" ht="18.95" customHeight="1">
      <c r="A520" s="61"/>
      <c r="B520" s="11" t="s">
        <v>431</v>
      </c>
      <c r="C520" s="13">
        <v>180000</v>
      </c>
      <c r="D520" s="55"/>
      <c r="E520" s="13">
        <v>180000</v>
      </c>
      <c r="F520" s="55"/>
      <c r="G520" s="55"/>
      <c r="H520" s="13">
        <f t="shared" si="12"/>
        <v>0</v>
      </c>
      <c r="I520" s="18" t="s">
        <v>12</v>
      </c>
    </row>
    <row r="521" spans="1:9" ht="14.25">
      <c r="A521" s="61"/>
      <c r="B521" s="11" t="s">
        <v>550</v>
      </c>
      <c r="C521" s="13">
        <f>30780</f>
        <v>30780</v>
      </c>
      <c r="D521" s="55"/>
      <c r="E521" s="13"/>
      <c r="F521" s="55"/>
      <c r="G521" s="55"/>
      <c r="H521" s="13">
        <f t="shared" si="12"/>
        <v>30780</v>
      </c>
      <c r="I521" s="18" t="s">
        <v>551</v>
      </c>
    </row>
    <row r="522" spans="1:9" ht="28.5">
      <c r="A522" s="61"/>
      <c r="B522" s="11" t="s">
        <v>552</v>
      </c>
      <c r="C522" s="13">
        <f>3700+48100</f>
        <v>51800</v>
      </c>
      <c r="D522" s="55"/>
      <c r="E522" s="13"/>
      <c r="F522" s="55"/>
      <c r="G522" s="55"/>
      <c r="H522" s="13">
        <f t="shared" si="12"/>
        <v>51800</v>
      </c>
      <c r="I522" s="18" t="s">
        <v>553</v>
      </c>
    </row>
    <row r="523" spans="1:9" ht="28.5">
      <c r="A523" s="61"/>
      <c r="B523" s="11" t="s">
        <v>554</v>
      </c>
      <c r="C523" s="13">
        <v>280358.34999999998</v>
      </c>
      <c r="D523" s="55"/>
      <c r="E523" s="13"/>
      <c r="F523" s="55"/>
      <c r="G523" s="55"/>
      <c r="H523" s="13">
        <f t="shared" si="12"/>
        <v>280358.34999999998</v>
      </c>
      <c r="I523" s="18" t="s">
        <v>25</v>
      </c>
    </row>
    <row r="524" spans="1:9" ht="42.75">
      <c r="A524" s="61"/>
      <c r="B524" s="11" t="s">
        <v>555</v>
      </c>
      <c r="C524" s="13">
        <v>100000</v>
      </c>
      <c r="D524" s="55"/>
      <c r="E524" s="13"/>
      <c r="F524" s="55"/>
      <c r="G524" s="55"/>
      <c r="H524" s="13">
        <f t="shared" si="12"/>
        <v>100000</v>
      </c>
      <c r="I524" s="18" t="s">
        <v>556</v>
      </c>
    </row>
    <row r="525" spans="1:9" ht="57">
      <c r="A525" s="61"/>
      <c r="B525" s="11" t="s">
        <v>557</v>
      </c>
      <c r="C525" s="13">
        <f>410000+100000</f>
        <v>510000</v>
      </c>
      <c r="D525" s="55"/>
      <c r="E525" s="13">
        <v>100000</v>
      </c>
      <c r="F525" s="55"/>
      <c r="G525" s="55"/>
      <c r="H525" s="13">
        <f t="shared" si="12"/>
        <v>410000</v>
      </c>
      <c r="I525" s="18" t="s">
        <v>558</v>
      </c>
    </row>
    <row r="526" spans="1:9" ht="42.75">
      <c r="A526" s="61"/>
      <c r="B526" s="11" t="s">
        <v>559</v>
      </c>
      <c r="C526" s="13">
        <v>100000</v>
      </c>
      <c r="D526" s="55"/>
      <c r="E526" s="13">
        <v>98285</v>
      </c>
      <c r="F526" s="55"/>
      <c r="G526" s="55"/>
      <c r="H526" s="13">
        <f t="shared" si="12"/>
        <v>1715</v>
      </c>
      <c r="I526" s="18" t="s">
        <v>12</v>
      </c>
    </row>
    <row r="527" spans="1:9" ht="14.25">
      <c r="A527" s="61"/>
      <c r="B527" s="11" t="s">
        <v>560</v>
      </c>
      <c r="C527" s="12">
        <v>100000</v>
      </c>
      <c r="D527" s="55"/>
      <c r="E527" s="13"/>
      <c r="F527" s="55"/>
      <c r="G527" s="55"/>
      <c r="H527" s="13">
        <f t="shared" si="12"/>
        <v>100000</v>
      </c>
      <c r="I527" s="18" t="s">
        <v>10</v>
      </c>
    </row>
    <row r="528" spans="1:9" ht="14.25">
      <c r="A528" s="61" t="s">
        <v>561</v>
      </c>
      <c r="B528" s="11" t="s">
        <v>562</v>
      </c>
      <c r="C528" s="12">
        <v>3418882.5</v>
      </c>
      <c r="D528" s="55">
        <f>SUBTOTAL(9,C530:C534)</f>
        <v>76582876.849999994</v>
      </c>
      <c r="E528" s="13">
        <v>3410827.75</v>
      </c>
      <c r="F528" s="55">
        <f>SUBTOTAL(9,E530:E534)</f>
        <v>68144922.810000002</v>
      </c>
      <c r="G528" s="55">
        <f>D528-F528</f>
        <v>8437954.0399999917</v>
      </c>
      <c r="H528" s="13">
        <f t="shared" si="12"/>
        <v>8054.75</v>
      </c>
      <c r="I528" s="18" t="s">
        <v>10</v>
      </c>
    </row>
    <row r="529" spans="1:9" ht="14.25">
      <c r="A529" s="61"/>
      <c r="B529" s="11" t="s">
        <v>563</v>
      </c>
      <c r="C529" s="12">
        <v>2128240.2000000002</v>
      </c>
      <c r="D529" s="55"/>
      <c r="E529" s="13">
        <v>381220</v>
      </c>
      <c r="F529" s="55"/>
      <c r="G529" s="55"/>
      <c r="H529" s="13">
        <f t="shared" si="12"/>
        <v>1747020.2000000002</v>
      </c>
      <c r="I529" s="18" t="s">
        <v>10</v>
      </c>
    </row>
    <row r="530" spans="1:9" ht="32.1" customHeight="1">
      <c r="A530" s="61"/>
      <c r="B530" s="11" t="s">
        <v>564</v>
      </c>
      <c r="C530" s="13">
        <f>9970000+5480000</f>
        <v>15450000</v>
      </c>
      <c r="D530" s="55"/>
      <c r="E530" s="13">
        <f>6922005.63</f>
        <v>6922005.6299999999</v>
      </c>
      <c r="F530" s="55"/>
      <c r="G530" s="55"/>
      <c r="H530" s="13">
        <f t="shared" si="12"/>
        <v>8527994.370000001</v>
      </c>
      <c r="I530" s="32" t="s">
        <v>565</v>
      </c>
    </row>
    <row r="531" spans="1:9" ht="33" customHeight="1">
      <c r="A531" s="61"/>
      <c r="B531" s="11" t="s">
        <v>566</v>
      </c>
      <c r="C531" s="14">
        <v>22771600</v>
      </c>
      <c r="D531" s="55"/>
      <c r="E531" s="13">
        <v>22771600</v>
      </c>
      <c r="F531" s="55"/>
      <c r="G531" s="55"/>
      <c r="H531" s="13">
        <f t="shared" si="12"/>
        <v>0</v>
      </c>
      <c r="I531" s="18" t="s">
        <v>10</v>
      </c>
    </row>
    <row r="532" spans="1:9" ht="42.75">
      <c r="A532" s="61"/>
      <c r="B532" s="21" t="s">
        <v>567</v>
      </c>
      <c r="C532" s="13">
        <f>18002400+18536100</f>
        <v>36538500</v>
      </c>
      <c r="D532" s="55"/>
      <c r="E532" s="13">
        <f>18002400+18536100</f>
        <v>36538500</v>
      </c>
      <c r="F532" s="55"/>
      <c r="G532" s="55"/>
      <c r="H532" s="13">
        <f t="shared" si="12"/>
        <v>0</v>
      </c>
      <c r="I532" s="24" t="s">
        <v>568</v>
      </c>
    </row>
    <row r="533" spans="1:9" ht="14.25">
      <c r="A533" s="61"/>
      <c r="B533" s="11" t="s">
        <v>13</v>
      </c>
      <c r="C533" s="13">
        <v>1662776.85</v>
      </c>
      <c r="D533" s="55"/>
      <c r="E533" s="13">
        <v>1752817.18</v>
      </c>
      <c r="F533" s="55"/>
      <c r="G533" s="55"/>
      <c r="H533" s="13">
        <f t="shared" si="12"/>
        <v>-90040.329999999842</v>
      </c>
      <c r="I533" s="18" t="s">
        <v>12</v>
      </c>
    </row>
    <row r="534" spans="1:9" ht="14.25">
      <c r="A534" s="61"/>
      <c r="B534" s="11" t="s">
        <v>431</v>
      </c>
      <c r="C534" s="13">
        <v>160000</v>
      </c>
      <c r="D534" s="55"/>
      <c r="E534" s="13">
        <v>160000</v>
      </c>
      <c r="F534" s="55"/>
      <c r="G534" s="55"/>
      <c r="H534" s="13">
        <f t="shared" si="12"/>
        <v>0</v>
      </c>
      <c r="I534" s="18" t="s">
        <v>12</v>
      </c>
    </row>
    <row r="535" spans="1:9" ht="14.25">
      <c r="A535" s="61" t="s">
        <v>569</v>
      </c>
      <c r="B535" s="11" t="s">
        <v>13</v>
      </c>
      <c r="C535" s="13">
        <v>1800924.67</v>
      </c>
      <c r="D535" s="55">
        <f>SUBTOTAL(9,C535:C542)</f>
        <v>6626217.0800000001</v>
      </c>
      <c r="E535" s="13">
        <v>1748603.04</v>
      </c>
      <c r="F535" s="55">
        <f>SUBTOTAL(9,E535:E542)</f>
        <v>5573895.4500000002</v>
      </c>
      <c r="G535" s="55">
        <f>D535-F535</f>
        <v>1052321.6299999999</v>
      </c>
      <c r="H535" s="13">
        <f t="shared" si="12"/>
        <v>52321.629999999888</v>
      </c>
      <c r="I535" s="18" t="s">
        <v>12</v>
      </c>
    </row>
    <row r="536" spans="1:9" ht="14.25">
      <c r="A536" s="61"/>
      <c r="B536" s="11" t="s">
        <v>431</v>
      </c>
      <c r="C536" s="13">
        <v>290000</v>
      </c>
      <c r="D536" s="55"/>
      <c r="E536" s="13">
        <v>290000</v>
      </c>
      <c r="F536" s="55"/>
      <c r="G536" s="55"/>
      <c r="H536" s="13">
        <f t="shared" si="12"/>
        <v>0</v>
      </c>
      <c r="I536" s="18" t="s">
        <v>12</v>
      </c>
    </row>
    <row r="537" spans="1:9" ht="14.25">
      <c r="A537" s="61"/>
      <c r="B537" s="11" t="s">
        <v>570</v>
      </c>
      <c r="C537" s="14">
        <v>1011327.81</v>
      </c>
      <c r="D537" s="55"/>
      <c r="E537" s="13">
        <v>1011327.81</v>
      </c>
      <c r="F537" s="55"/>
      <c r="G537" s="55"/>
      <c r="H537" s="13">
        <f t="shared" si="12"/>
        <v>0</v>
      </c>
      <c r="I537" s="18" t="s">
        <v>10</v>
      </c>
    </row>
    <row r="538" spans="1:9" ht="14.25">
      <c r="A538" s="61"/>
      <c r="B538" s="11" t="s">
        <v>571</v>
      </c>
      <c r="C538" s="14">
        <v>500000</v>
      </c>
      <c r="D538" s="55"/>
      <c r="E538" s="13">
        <v>500000</v>
      </c>
      <c r="F538" s="55"/>
      <c r="G538" s="55"/>
      <c r="H538" s="13">
        <f t="shared" si="12"/>
        <v>0</v>
      </c>
      <c r="I538" s="18" t="s">
        <v>10</v>
      </c>
    </row>
    <row r="539" spans="1:9" ht="17.25" customHeight="1">
      <c r="A539" s="61"/>
      <c r="B539" s="11" t="s">
        <v>572</v>
      </c>
      <c r="C539" s="13">
        <f>466899.6</f>
        <v>466899.6</v>
      </c>
      <c r="D539" s="55"/>
      <c r="E539" s="13">
        <v>466899.6</v>
      </c>
      <c r="F539" s="55"/>
      <c r="G539" s="55"/>
      <c r="H539" s="13">
        <f t="shared" si="12"/>
        <v>0</v>
      </c>
      <c r="I539" s="18" t="s">
        <v>25</v>
      </c>
    </row>
    <row r="540" spans="1:9" ht="28.5">
      <c r="A540" s="61"/>
      <c r="B540" s="11" t="s">
        <v>573</v>
      </c>
      <c r="C540" s="12">
        <v>357065</v>
      </c>
      <c r="D540" s="55"/>
      <c r="E540" s="13">
        <v>357065</v>
      </c>
      <c r="F540" s="55"/>
      <c r="G540" s="55"/>
      <c r="H540" s="13">
        <f t="shared" si="12"/>
        <v>0</v>
      </c>
      <c r="I540" s="18" t="s">
        <v>10</v>
      </c>
    </row>
    <row r="541" spans="1:9" ht="14.25">
      <c r="A541" s="61"/>
      <c r="B541" s="11" t="s">
        <v>434</v>
      </c>
      <c r="C541" s="12">
        <v>2000000</v>
      </c>
      <c r="D541" s="55"/>
      <c r="E541" s="13">
        <v>1000000</v>
      </c>
      <c r="F541" s="55"/>
      <c r="G541" s="55"/>
      <c r="H541" s="13">
        <f t="shared" si="12"/>
        <v>1000000</v>
      </c>
      <c r="I541" s="18" t="s">
        <v>10</v>
      </c>
    </row>
    <row r="542" spans="1:9" ht="14.25">
      <c r="A542" s="61"/>
      <c r="B542" s="11" t="s">
        <v>574</v>
      </c>
      <c r="C542" s="13">
        <v>200000</v>
      </c>
      <c r="D542" s="55"/>
      <c r="E542" s="13">
        <v>200000</v>
      </c>
      <c r="F542" s="55"/>
      <c r="G542" s="55"/>
      <c r="H542" s="13">
        <f t="shared" si="12"/>
        <v>0</v>
      </c>
      <c r="I542" s="18" t="s">
        <v>25</v>
      </c>
    </row>
    <row r="543" spans="1:9" ht="14.25">
      <c r="A543" s="10" t="s">
        <v>575</v>
      </c>
      <c r="B543" s="41" t="s">
        <v>18</v>
      </c>
      <c r="C543" s="13">
        <v>220000</v>
      </c>
      <c r="D543" s="13">
        <f>SUBTOTAL(9,C543)</f>
        <v>220000</v>
      </c>
      <c r="E543" s="13">
        <v>220000</v>
      </c>
      <c r="F543" s="13">
        <f>SUBTOTAL(9,E543)</f>
        <v>220000</v>
      </c>
      <c r="G543" s="13">
        <f t="shared" ref="G543:G546" si="13">D543-F543</f>
        <v>0</v>
      </c>
      <c r="H543" s="13">
        <f t="shared" si="12"/>
        <v>0</v>
      </c>
      <c r="I543" s="18" t="s">
        <v>12</v>
      </c>
    </row>
    <row r="544" spans="1:9" ht="14.25">
      <c r="A544" s="61" t="s">
        <v>576</v>
      </c>
      <c r="B544" s="11" t="s">
        <v>13</v>
      </c>
      <c r="C544" s="13">
        <v>1116255.3400000001</v>
      </c>
      <c r="D544" s="55">
        <f>SUBTOTAL(9,C544:C545)</f>
        <v>1216255.3400000001</v>
      </c>
      <c r="E544" s="13">
        <v>915196.04</v>
      </c>
      <c r="F544" s="55">
        <f>SUBTOTAL(9,E544:E545)</f>
        <v>1015196.04</v>
      </c>
      <c r="G544" s="55">
        <f t="shared" si="13"/>
        <v>201059.30000000005</v>
      </c>
      <c r="H544" s="13">
        <f t="shared" si="12"/>
        <v>201059.30000000005</v>
      </c>
      <c r="I544" s="18" t="s">
        <v>12</v>
      </c>
    </row>
    <row r="545" spans="1:9" ht="14.25">
      <c r="A545" s="61"/>
      <c r="B545" s="11" t="s">
        <v>431</v>
      </c>
      <c r="C545" s="13">
        <v>100000</v>
      </c>
      <c r="D545" s="55"/>
      <c r="E545" s="13">
        <v>100000</v>
      </c>
      <c r="F545" s="55"/>
      <c r="G545" s="55"/>
      <c r="H545" s="13">
        <f t="shared" si="12"/>
        <v>0</v>
      </c>
      <c r="I545" s="18" t="s">
        <v>12</v>
      </c>
    </row>
    <row r="546" spans="1:9" ht="14.25">
      <c r="A546" s="61" t="s">
        <v>577</v>
      </c>
      <c r="B546" s="11" t="s">
        <v>13</v>
      </c>
      <c r="C546" s="13">
        <v>2643682.7999999998</v>
      </c>
      <c r="D546" s="55">
        <f>SUBTOTAL(9,C546:C550)</f>
        <v>7689682.7999999998</v>
      </c>
      <c r="E546" s="13">
        <v>2542547.0699999998</v>
      </c>
      <c r="F546" s="55">
        <f>SUBTOTAL(9,E546:E550)</f>
        <v>2862547.07</v>
      </c>
      <c r="G546" s="55">
        <f t="shared" si="13"/>
        <v>4827135.7300000004</v>
      </c>
      <c r="H546" s="13">
        <f t="shared" si="12"/>
        <v>101135.72999999998</v>
      </c>
      <c r="I546" s="18" t="s">
        <v>12</v>
      </c>
    </row>
    <row r="547" spans="1:9" ht="14.25">
      <c r="A547" s="61"/>
      <c r="B547" s="11" t="s">
        <v>431</v>
      </c>
      <c r="C547" s="13">
        <v>320000</v>
      </c>
      <c r="D547" s="55"/>
      <c r="E547" s="13">
        <v>320000</v>
      </c>
      <c r="F547" s="55"/>
      <c r="G547" s="55"/>
      <c r="H547" s="13">
        <f t="shared" si="12"/>
        <v>0</v>
      </c>
      <c r="I547" s="18" t="s">
        <v>12</v>
      </c>
    </row>
    <row r="548" spans="1:9" ht="42.75">
      <c r="A548" s="61"/>
      <c r="B548" s="21" t="s">
        <v>578</v>
      </c>
      <c r="C548" s="13">
        <v>2583300</v>
      </c>
      <c r="D548" s="55"/>
      <c r="E548" s="13"/>
      <c r="F548" s="55"/>
      <c r="G548" s="55"/>
      <c r="H548" s="13">
        <f t="shared" si="12"/>
        <v>2583300</v>
      </c>
      <c r="I548" s="24" t="s">
        <v>579</v>
      </c>
    </row>
    <row r="549" spans="1:9" ht="71.25">
      <c r="A549" s="61"/>
      <c r="B549" s="21" t="s">
        <v>580</v>
      </c>
      <c r="C549" s="13">
        <v>1000000</v>
      </c>
      <c r="D549" s="55"/>
      <c r="E549" s="13"/>
      <c r="F549" s="55"/>
      <c r="G549" s="55"/>
      <c r="H549" s="13">
        <f t="shared" si="12"/>
        <v>1000000</v>
      </c>
      <c r="I549" s="24" t="s">
        <v>581</v>
      </c>
    </row>
    <row r="550" spans="1:9" ht="57" customHeight="1">
      <c r="A550" s="66"/>
      <c r="B550" s="42" t="s">
        <v>582</v>
      </c>
      <c r="C550" s="19">
        <v>1142700</v>
      </c>
      <c r="D550" s="56"/>
      <c r="E550" s="19">
        <v>0</v>
      </c>
      <c r="F550" s="56"/>
      <c r="G550" s="56"/>
      <c r="H550" s="19">
        <f t="shared" si="12"/>
        <v>1142700</v>
      </c>
      <c r="I550" s="48" t="s">
        <v>583</v>
      </c>
    </row>
    <row r="551" spans="1:9" ht="16.5" customHeight="1">
      <c r="A551" s="61" t="s">
        <v>584</v>
      </c>
      <c r="B551" s="11" t="s">
        <v>585</v>
      </c>
      <c r="C551" s="12">
        <v>480000</v>
      </c>
      <c r="D551" s="55">
        <f>SUBTOTAL(9,C552:C553)</f>
        <v>624000</v>
      </c>
      <c r="E551" s="13">
        <v>480000</v>
      </c>
      <c r="F551" s="55">
        <f>SUBTOTAL(9,E552:E553)</f>
        <v>624000</v>
      </c>
      <c r="G551" s="55">
        <f>D551-F551</f>
        <v>0</v>
      </c>
      <c r="H551" s="13">
        <f t="shared" si="12"/>
        <v>0</v>
      </c>
      <c r="I551" s="18" t="s">
        <v>10</v>
      </c>
    </row>
    <row r="552" spans="1:9" ht="31.5" customHeight="1">
      <c r="A552" s="62"/>
      <c r="B552" s="43" t="s">
        <v>586</v>
      </c>
      <c r="C552" s="20">
        <v>504000</v>
      </c>
      <c r="D552" s="57"/>
      <c r="E552" s="20">
        <v>504000</v>
      </c>
      <c r="F552" s="57"/>
      <c r="G552" s="57"/>
      <c r="H552" s="20">
        <f t="shared" si="12"/>
        <v>0</v>
      </c>
      <c r="I552" s="53" t="s">
        <v>25</v>
      </c>
    </row>
    <row r="553" spans="1:9" ht="30.75" customHeight="1">
      <c r="A553" s="61"/>
      <c r="B553" s="11" t="s">
        <v>587</v>
      </c>
      <c r="C553" s="13">
        <v>120000</v>
      </c>
      <c r="D553" s="55"/>
      <c r="E553" s="13">
        <v>120000</v>
      </c>
      <c r="F553" s="55"/>
      <c r="G553" s="55"/>
      <c r="H553" s="13">
        <f t="shared" si="12"/>
        <v>0</v>
      </c>
      <c r="I553" s="52"/>
    </row>
    <row r="554" spans="1:9" ht="77.25" customHeight="1">
      <c r="A554" s="61" t="s">
        <v>196</v>
      </c>
      <c r="B554" s="21" t="s">
        <v>588</v>
      </c>
      <c r="C554" s="13">
        <f>21673647+54017700-18105350-6966550-6260000-2066000+2429700</f>
        <v>44723147</v>
      </c>
      <c r="D554" s="55">
        <f>SUBTOTAL(9,C554:C557)+4000000-9050100-5070000</f>
        <v>39908932.269999996</v>
      </c>
      <c r="E554" s="59"/>
      <c r="F554" s="55"/>
      <c r="G554" s="55">
        <f>D554-F554</f>
        <v>39908932.269999996</v>
      </c>
      <c r="H554" s="59">
        <v>39908932.270000003</v>
      </c>
      <c r="I554" s="26" t="s">
        <v>589</v>
      </c>
    </row>
    <row r="555" spans="1:9" ht="28.5" customHeight="1">
      <c r="A555" s="61"/>
      <c r="B555" s="21" t="s">
        <v>607</v>
      </c>
      <c r="C555" s="13">
        <f>619359.26-198668.64+30000</f>
        <v>450690.62</v>
      </c>
      <c r="D555" s="55"/>
      <c r="E555" s="59"/>
      <c r="F555" s="55"/>
      <c r="G555" s="55"/>
      <c r="H555" s="60"/>
      <c r="I555" s="18" t="s">
        <v>12</v>
      </c>
    </row>
    <row r="556" spans="1:9" ht="57" customHeight="1">
      <c r="A556" s="61"/>
      <c r="B556" s="11" t="s">
        <v>590</v>
      </c>
      <c r="C556" s="13">
        <f>2141000-48100-194338-8255-220-12744-250000-837000-109</f>
        <v>790234</v>
      </c>
      <c r="D556" s="55"/>
      <c r="E556" s="59"/>
      <c r="F556" s="55"/>
      <c r="G556" s="55"/>
      <c r="H556" s="59"/>
      <c r="I556" s="18" t="s">
        <v>195</v>
      </c>
    </row>
    <row r="557" spans="1:9" ht="14.25">
      <c r="A557" s="61"/>
      <c r="B557" s="11" t="s">
        <v>591</v>
      </c>
      <c r="C557" s="13">
        <f>8657700.65-3174140-478100-940500</f>
        <v>4064960.6500000004</v>
      </c>
      <c r="D557" s="55"/>
      <c r="E557" s="59"/>
      <c r="F557" s="55"/>
      <c r="G557" s="55"/>
      <c r="H557" s="59"/>
      <c r="I557" s="18" t="s">
        <v>25</v>
      </c>
    </row>
    <row r="558" spans="1:9">
      <c r="A558" s="45"/>
      <c r="B558" s="46"/>
      <c r="C558" s="47"/>
      <c r="D558" s="44"/>
      <c r="E558" s="44"/>
      <c r="F558" s="44"/>
      <c r="G558" s="44"/>
      <c r="H558" s="44">
        <v>-10077661.65</v>
      </c>
      <c r="I558" s="49" t="s">
        <v>608</v>
      </c>
    </row>
    <row r="559" spans="1:9" hidden="1">
      <c r="I559" s="50"/>
    </row>
    <row r="560" spans="1:9" hidden="1">
      <c r="E560" s="4">
        <f>C558-E558</f>
        <v>0</v>
      </c>
      <c r="I560" s="50"/>
    </row>
    <row r="561" spans="2:9" hidden="1">
      <c r="C561" s="3">
        <f>D558-C558</f>
        <v>0</v>
      </c>
      <c r="I561" s="50" t="s">
        <v>592</v>
      </c>
    </row>
    <row r="562" spans="2:9" hidden="1">
      <c r="I562" s="50"/>
    </row>
    <row r="563" spans="2:9" hidden="1">
      <c r="F563" s="4">
        <f>D558-F558</f>
        <v>0</v>
      </c>
      <c r="I563" s="50"/>
    </row>
    <row r="564" spans="2:9" hidden="1">
      <c r="I564" s="50"/>
    </row>
    <row r="565" spans="2:9" hidden="1">
      <c r="C565" s="3" t="s">
        <v>593</v>
      </c>
      <c r="I565" s="50"/>
    </row>
    <row r="566" spans="2:9" hidden="1">
      <c r="C566" s="3">
        <f>2002059604.63-1769159651.4-104901918.45</f>
        <v>127998034.78000002</v>
      </c>
      <c r="E566" s="4" t="s">
        <v>594</v>
      </c>
      <c r="I566" s="50"/>
    </row>
    <row r="567" spans="2:9" hidden="1">
      <c r="E567" s="4" t="s">
        <v>595</v>
      </c>
      <c r="I567" s="50"/>
    </row>
    <row r="568" spans="2:9" hidden="1">
      <c r="E568" s="4">
        <f>72066167.9-52977892.72</f>
        <v>19088275.180000007</v>
      </c>
      <c r="I568" s="50"/>
    </row>
    <row r="569" spans="2:9" hidden="1">
      <c r="E569" s="4" t="e">
        <f>1778174461.21+#REF!</f>
        <v>#REF!</v>
      </c>
      <c r="I569" s="50"/>
    </row>
    <row r="570" spans="2:9" hidden="1">
      <c r="E570" s="4">
        <f>1769159651.4+104801918.45+19088275.18</f>
        <v>1893049845.0300002</v>
      </c>
      <c r="I570" s="50"/>
    </row>
    <row r="571" spans="2:9" hidden="1">
      <c r="B571" s="2">
        <f>74135417.26+80405640.78</f>
        <v>154541058.04000002</v>
      </c>
      <c r="E571" s="4" t="e">
        <f>E569-#REF!</f>
        <v>#REF!</v>
      </c>
      <c r="I571" s="50"/>
    </row>
    <row r="572" spans="2:9" hidden="1">
      <c r="I572" s="50"/>
    </row>
    <row r="573" spans="2:9" hidden="1">
      <c r="B573" s="2">
        <f>198463-199825</f>
        <v>-1362</v>
      </c>
      <c r="I573" s="50"/>
    </row>
    <row r="574" spans="2:9" hidden="1">
      <c r="I574" s="50"/>
    </row>
    <row r="575" spans="2:9" hidden="1">
      <c r="B575" s="2">
        <f>198463-197847</f>
        <v>616</v>
      </c>
      <c r="I575" s="50"/>
    </row>
    <row r="576" spans="2:9" hidden="1">
      <c r="E576" s="4">
        <f>5390+1000000+3680+2680+48100+200000+491157+5529541.71+330720+3233173.44+1593725.87+6989805.03+41120+8240+1058846.37+17600+828000+800000+1995271.18+23300+445432.8+11180+30780+3700+1571257.95-478100-3174140+8657700.65</f>
        <v>31268162</v>
      </c>
      <c r="I576" s="50"/>
    </row>
    <row r="577" spans="2:9" hidden="1">
      <c r="E577" s="4">
        <f>815440+55616.55+500000+300000+1000000+3680+504000+120000+400800+90357+460000+860316.16+722568.7+100000+506880+247453.7+99100+299685+23300+93720+1632014.75+50000+35000+30780+3700+280358.35+80000+120000+330720+1243621+41120+48100+1033058.69+90000+22338+1960271.18+20000+785650+459000+116698+26000+500000+152600+17600+228446.37+127800+8240+5390+11180+2680+828000+291963+466899.6+200000+712800+52027.8+1593725.87+8866.6+8657700.65+872733.03</f>
        <v>30350000</v>
      </c>
      <c r="I577" s="50"/>
    </row>
    <row r="578" spans="2:9" hidden="1">
      <c r="I578" s="50"/>
    </row>
    <row r="579" spans="2:9" hidden="1">
      <c r="I579" s="50"/>
    </row>
    <row r="580" spans="2:9" hidden="1">
      <c r="B580" s="2">
        <f>C558-B571</f>
        <v>-154541058.04000002</v>
      </c>
      <c r="I580" s="50"/>
    </row>
    <row r="581" spans="2:9" hidden="1">
      <c r="I581" s="50"/>
    </row>
    <row r="582" spans="2:9" hidden="1">
      <c r="B582" s="2">
        <f>198463-199437</f>
        <v>-974</v>
      </c>
      <c r="I582" s="50"/>
    </row>
    <row r="583" spans="2:9" hidden="1">
      <c r="I583" s="50"/>
    </row>
    <row r="584" spans="2:9" hidden="1">
      <c r="I584" s="50"/>
    </row>
    <row r="585" spans="2:9" hidden="1">
      <c r="I585" s="50"/>
    </row>
    <row r="586" spans="2:9" hidden="1">
      <c r="I586" s="50"/>
    </row>
    <row r="587" spans="2:9" hidden="1">
      <c r="I587" s="50"/>
    </row>
    <row r="588" spans="2:9" hidden="1">
      <c r="I588" s="50"/>
    </row>
    <row r="589" spans="2:9" hidden="1">
      <c r="I589" s="50"/>
    </row>
    <row r="590" spans="2:9" hidden="1">
      <c r="I590" s="50"/>
    </row>
    <row r="591" spans="2:9" hidden="1">
      <c r="I591" s="50"/>
    </row>
  </sheetData>
  <autoFilter ref="A2:I558">
    <extLst/>
  </autoFilter>
  <mergeCells count="286">
    <mergeCell ref="A1:I1"/>
    <mergeCell ref="A3:A10"/>
    <mergeCell ref="A11:A19"/>
    <mergeCell ref="A20:A26"/>
    <mergeCell ref="A27:A32"/>
    <mergeCell ref="A33:A39"/>
    <mergeCell ref="A40:A44"/>
    <mergeCell ref="A45:A50"/>
    <mergeCell ref="A51:A55"/>
    <mergeCell ref="A56:A60"/>
    <mergeCell ref="A61:A65"/>
    <mergeCell ref="A66:A70"/>
    <mergeCell ref="A71:A75"/>
    <mergeCell ref="A76:A80"/>
    <mergeCell ref="A81:A89"/>
    <mergeCell ref="A90:A96"/>
    <mergeCell ref="A97:A100"/>
    <mergeCell ref="A101:A108"/>
    <mergeCell ref="A109:A110"/>
    <mergeCell ref="A111:A112"/>
    <mergeCell ref="A113:A152"/>
    <mergeCell ref="A153:A164"/>
    <mergeCell ref="A165:A176"/>
    <mergeCell ref="A177:A184"/>
    <mergeCell ref="A185:A194"/>
    <mergeCell ref="A195:A199"/>
    <mergeCell ref="A200:A204"/>
    <mergeCell ref="A205:A222"/>
    <mergeCell ref="A223:A226"/>
    <mergeCell ref="A227:A231"/>
    <mergeCell ref="A232:A250"/>
    <mergeCell ref="A251:A258"/>
    <mergeCell ref="A259:A284"/>
    <mergeCell ref="A285:A287"/>
    <mergeCell ref="A288:A293"/>
    <mergeCell ref="A294:A313"/>
    <mergeCell ref="A314:A316"/>
    <mergeCell ref="A317:A321"/>
    <mergeCell ref="A322:A359"/>
    <mergeCell ref="A360:A366"/>
    <mergeCell ref="A367:A374"/>
    <mergeCell ref="A375:A381"/>
    <mergeCell ref="A382:A405"/>
    <mergeCell ref="A406:A409"/>
    <mergeCell ref="A410:A412"/>
    <mergeCell ref="A413:A427"/>
    <mergeCell ref="A428:A455"/>
    <mergeCell ref="A456:A462"/>
    <mergeCell ref="A463:A472"/>
    <mergeCell ref="A473:A475"/>
    <mergeCell ref="A476:A483"/>
    <mergeCell ref="A484:A501"/>
    <mergeCell ref="A502:A504"/>
    <mergeCell ref="A505:A506"/>
    <mergeCell ref="A507:A509"/>
    <mergeCell ref="A510:A511"/>
    <mergeCell ref="A512:A513"/>
    <mergeCell ref="A514:A517"/>
    <mergeCell ref="A518:A527"/>
    <mergeCell ref="A528:A534"/>
    <mergeCell ref="A535:A542"/>
    <mergeCell ref="A544:A545"/>
    <mergeCell ref="A546:A550"/>
    <mergeCell ref="A551:A553"/>
    <mergeCell ref="A554:A557"/>
    <mergeCell ref="B478:B479"/>
    <mergeCell ref="B480:B481"/>
    <mergeCell ref="C223:C224"/>
    <mergeCell ref="C478:C479"/>
    <mergeCell ref="C480:C481"/>
    <mergeCell ref="D3:D10"/>
    <mergeCell ref="D11:D19"/>
    <mergeCell ref="D20:D26"/>
    <mergeCell ref="D27:D32"/>
    <mergeCell ref="D33:D39"/>
    <mergeCell ref="D40:D44"/>
    <mergeCell ref="D45:D50"/>
    <mergeCell ref="D51:D55"/>
    <mergeCell ref="D56:D60"/>
    <mergeCell ref="D61:D65"/>
    <mergeCell ref="D66:D70"/>
    <mergeCell ref="D71:D75"/>
    <mergeCell ref="D76:D80"/>
    <mergeCell ref="D81:D89"/>
    <mergeCell ref="D90:D96"/>
    <mergeCell ref="D97:D100"/>
    <mergeCell ref="D101:D108"/>
    <mergeCell ref="D109:D110"/>
    <mergeCell ref="D111:D112"/>
    <mergeCell ref="D113:D152"/>
    <mergeCell ref="D153:D164"/>
    <mergeCell ref="D165:D176"/>
    <mergeCell ref="D177:D184"/>
    <mergeCell ref="D185:D194"/>
    <mergeCell ref="D195:D199"/>
    <mergeCell ref="D200:D204"/>
    <mergeCell ref="D205:D222"/>
    <mergeCell ref="D223:D226"/>
    <mergeCell ref="D227:D231"/>
    <mergeCell ref="D232:D250"/>
    <mergeCell ref="D251:D258"/>
    <mergeCell ref="D259:D284"/>
    <mergeCell ref="D285:D287"/>
    <mergeCell ref="D288:D293"/>
    <mergeCell ref="D294:D313"/>
    <mergeCell ref="D314:D316"/>
    <mergeCell ref="D317:D321"/>
    <mergeCell ref="D322:D359"/>
    <mergeCell ref="D360:D366"/>
    <mergeCell ref="D367:D374"/>
    <mergeCell ref="D375:D381"/>
    <mergeCell ref="D382:D405"/>
    <mergeCell ref="D406:D409"/>
    <mergeCell ref="D410:D412"/>
    <mergeCell ref="D413:D427"/>
    <mergeCell ref="D428:D455"/>
    <mergeCell ref="D456:D462"/>
    <mergeCell ref="D463:D472"/>
    <mergeCell ref="D473:D475"/>
    <mergeCell ref="D476:D483"/>
    <mergeCell ref="D484:D501"/>
    <mergeCell ref="D502:D504"/>
    <mergeCell ref="D505:D506"/>
    <mergeCell ref="D507:D509"/>
    <mergeCell ref="D510:D511"/>
    <mergeCell ref="D512:D513"/>
    <mergeCell ref="D514:D517"/>
    <mergeCell ref="D518:D527"/>
    <mergeCell ref="D528:D534"/>
    <mergeCell ref="D535:D542"/>
    <mergeCell ref="D544:D545"/>
    <mergeCell ref="D546:D550"/>
    <mergeCell ref="D551:D553"/>
    <mergeCell ref="D554:D557"/>
    <mergeCell ref="E115:E118"/>
    <mergeCell ref="E155:E159"/>
    <mergeCell ref="E223:E224"/>
    <mergeCell ref="E478:E479"/>
    <mergeCell ref="E480:E481"/>
    <mergeCell ref="E554:E557"/>
    <mergeCell ref="F3:F10"/>
    <mergeCell ref="F11:F19"/>
    <mergeCell ref="F20:F26"/>
    <mergeCell ref="F27:F32"/>
    <mergeCell ref="F33:F39"/>
    <mergeCell ref="F40:F44"/>
    <mergeCell ref="F45:F50"/>
    <mergeCell ref="F51:F55"/>
    <mergeCell ref="F56:F60"/>
    <mergeCell ref="F61:F65"/>
    <mergeCell ref="F66:F70"/>
    <mergeCell ref="F71:F75"/>
    <mergeCell ref="F76:F80"/>
    <mergeCell ref="F81:F89"/>
    <mergeCell ref="F90:F96"/>
    <mergeCell ref="F97:F100"/>
    <mergeCell ref="F101:F108"/>
    <mergeCell ref="F109:F110"/>
    <mergeCell ref="F111:F112"/>
    <mergeCell ref="F113:F152"/>
    <mergeCell ref="F153:F164"/>
    <mergeCell ref="F165:F176"/>
    <mergeCell ref="F177:F184"/>
    <mergeCell ref="F185:F194"/>
    <mergeCell ref="F195:F199"/>
    <mergeCell ref="F200:F204"/>
    <mergeCell ref="F205:F222"/>
    <mergeCell ref="F223:F226"/>
    <mergeCell ref="F227:F231"/>
    <mergeCell ref="F232:F250"/>
    <mergeCell ref="F251:F258"/>
    <mergeCell ref="F259:F284"/>
    <mergeCell ref="F285:F287"/>
    <mergeCell ref="F288:F293"/>
    <mergeCell ref="F294:F313"/>
    <mergeCell ref="F314:F316"/>
    <mergeCell ref="F317:F321"/>
    <mergeCell ref="F322:F359"/>
    <mergeCell ref="F360:F366"/>
    <mergeCell ref="F367:F374"/>
    <mergeCell ref="F375:F381"/>
    <mergeCell ref="F382:F405"/>
    <mergeCell ref="F406:F409"/>
    <mergeCell ref="F410:F412"/>
    <mergeCell ref="F413:F427"/>
    <mergeCell ref="F428:F455"/>
    <mergeCell ref="F456:F462"/>
    <mergeCell ref="F463:F472"/>
    <mergeCell ref="F473:F475"/>
    <mergeCell ref="F476:F483"/>
    <mergeCell ref="F484:F501"/>
    <mergeCell ref="F502:F504"/>
    <mergeCell ref="F505:F506"/>
    <mergeCell ref="F507:F509"/>
    <mergeCell ref="F510:F511"/>
    <mergeCell ref="F512:F513"/>
    <mergeCell ref="F514:F517"/>
    <mergeCell ref="F518:F527"/>
    <mergeCell ref="F528:F534"/>
    <mergeCell ref="F535:F542"/>
    <mergeCell ref="F544:F545"/>
    <mergeCell ref="F546:F550"/>
    <mergeCell ref="F551:F553"/>
    <mergeCell ref="F554:F557"/>
    <mergeCell ref="G3:G10"/>
    <mergeCell ref="G11:G19"/>
    <mergeCell ref="G20:G26"/>
    <mergeCell ref="G27:G32"/>
    <mergeCell ref="G33:G39"/>
    <mergeCell ref="G40:G44"/>
    <mergeCell ref="G45:G50"/>
    <mergeCell ref="G51:G55"/>
    <mergeCell ref="G56:G60"/>
    <mergeCell ref="G61:G65"/>
    <mergeCell ref="G66:G70"/>
    <mergeCell ref="G71:G75"/>
    <mergeCell ref="G76:G80"/>
    <mergeCell ref="G81:G89"/>
    <mergeCell ref="G90:G96"/>
    <mergeCell ref="G97:G100"/>
    <mergeCell ref="G101:G108"/>
    <mergeCell ref="G109:G110"/>
    <mergeCell ref="G111:G112"/>
    <mergeCell ref="G113:G152"/>
    <mergeCell ref="G153:G164"/>
    <mergeCell ref="G165:G176"/>
    <mergeCell ref="G177:G184"/>
    <mergeCell ref="G185:G194"/>
    <mergeCell ref="G195:G199"/>
    <mergeCell ref="G200:G204"/>
    <mergeCell ref="G205:G222"/>
    <mergeCell ref="G223:G226"/>
    <mergeCell ref="G227:G231"/>
    <mergeCell ref="G232:G250"/>
    <mergeCell ref="G413:G427"/>
    <mergeCell ref="G428:G455"/>
    <mergeCell ref="G456:G462"/>
    <mergeCell ref="G463:G472"/>
    <mergeCell ref="G251:G258"/>
    <mergeCell ref="G259:G284"/>
    <mergeCell ref="G285:G287"/>
    <mergeCell ref="G288:G293"/>
    <mergeCell ref="G294:G313"/>
    <mergeCell ref="G314:G316"/>
    <mergeCell ref="G317:G321"/>
    <mergeCell ref="G322:G359"/>
    <mergeCell ref="G360:G366"/>
    <mergeCell ref="G518:G527"/>
    <mergeCell ref="G528:G534"/>
    <mergeCell ref="G535:G542"/>
    <mergeCell ref="G544:G545"/>
    <mergeCell ref="G546:G550"/>
    <mergeCell ref="G551:G553"/>
    <mergeCell ref="G554:G557"/>
    <mergeCell ref="H115:H118"/>
    <mergeCell ref="H155:H159"/>
    <mergeCell ref="H554:H557"/>
    <mergeCell ref="G473:G475"/>
    <mergeCell ref="G476:G483"/>
    <mergeCell ref="G484:G501"/>
    <mergeCell ref="G502:G504"/>
    <mergeCell ref="G505:G506"/>
    <mergeCell ref="G507:G509"/>
    <mergeCell ref="G510:G511"/>
    <mergeCell ref="G512:G513"/>
    <mergeCell ref="G514:G517"/>
    <mergeCell ref="G367:G374"/>
    <mergeCell ref="G375:G381"/>
    <mergeCell ref="G382:G405"/>
    <mergeCell ref="G406:G409"/>
    <mergeCell ref="G410:G412"/>
    <mergeCell ref="I301:I304"/>
    <mergeCell ref="I339:I344"/>
    <mergeCell ref="I413:I416"/>
    <mergeCell ref="I478:I479"/>
    <mergeCell ref="I500:I501"/>
    <mergeCell ref="I552:I553"/>
    <mergeCell ref="I87:I88"/>
    <mergeCell ref="I92:I93"/>
    <mergeCell ref="I115:I118"/>
    <mergeCell ref="I124:I130"/>
    <mergeCell ref="I156:I159"/>
    <mergeCell ref="I188:I189"/>
    <mergeCell ref="I223:I224"/>
    <mergeCell ref="I264:I267"/>
    <mergeCell ref="I299:I300"/>
  </mergeCells>
  <phoneticPr fontId="14" type="noConversion"/>
  <pageMargins left="0.74803149606299213" right="0.74803149606299213" top="0.59055118110236227" bottom="0.59055118110236227" header="0.51181102362204722" footer="0.51181102362204722"/>
  <pageSetup paperSize="9" scale="67"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4">
    <comment s:ref="A2" rgbClr="2E9BF0"/>
    <comment s:ref="C4" rgbClr="2E9BF0"/>
    <comment s:ref="C5" rgbClr="2E9BF0"/>
    <comment s:ref="H6" rgbClr="2E9BF0"/>
    <comment s:ref="C8" rgbClr="2E9BF0"/>
    <comment s:ref="H8" rgbClr="2E9BF0"/>
    <comment s:ref="I8" rgbClr="2E9BF0"/>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终 （分析)</vt:lpstr>
      <vt:lpstr>'终 （分析)'!Print_Titles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2022-04-08T01:45:42Z</cp:lastPrinted>
  <dcterms:created xsi:type="dcterms:W3CDTF">2022-01-05T08:03:00Z</dcterms:created>
  <dcterms:modified xsi:type="dcterms:W3CDTF">2022-04-08T01:46:32Z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ADC7C661674942E08AC31863F10EF372</vt:lpwstr>
  </property>
</Properties>
</file>